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50_通知・算定構造表\03_処遇改善通知\2024xxxx_事務処理手順\03xx正式発出\様式\記載例\"/>
    </mc:Choice>
  </mc:AlternateContent>
  <xr:revisionPtr revIDLastSave="0" documentId="13_ncr:1_{F207CF06-EA9F-44A0-A9DC-C02B86F5E3C6}"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5" i="18" l="1"/>
  <c r="AK206" i="18"/>
  <c r="AB131" i="18"/>
  <c r="AB129" i="18"/>
  <c r="T60" i="18"/>
  <c r="T67" i="38"/>
  <c r="AW63" i="38"/>
  <c r="AW62" i="38"/>
  <c r="AW61" i="38"/>
  <c r="AK56" i="38"/>
  <c r="AC56" i="38"/>
  <c r="H53" i="38"/>
  <c r="L49" i="38"/>
  <c r="L50" i="38" s="1"/>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49" i="37"/>
  <c r="L50" i="37" s="1"/>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49" i="36"/>
  <c r="L50" i="36" s="1"/>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49" i="35"/>
  <c r="L50" i="35" s="1"/>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49" i="34"/>
  <c r="L50" i="34" s="1"/>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AW48" i="35"/>
  <c r="BE48" i="35" s="1"/>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W48" i="38" s="1"/>
  <c r="AH61" i="38"/>
  <c r="Q49" i="37"/>
  <c r="BA51" i="35"/>
  <c r="Q51" i="35"/>
  <c r="AW48" i="34" l="1"/>
  <c r="BE48" i="34" s="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AW48" i="37"/>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AW48" i="36"/>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AC51" i="36"/>
  <c r="AC52" i="36" s="1"/>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BE51" i="37" l="1"/>
  <c r="AC51" i="37"/>
  <c r="AC52" i="37" s="1"/>
  <c r="G51" i="34"/>
  <c r="G52" i="34" s="1"/>
  <c r="AS51" i="34"/>
  <c r="BI51" i="34" s="1"/>
  <c r="V50" i="34"/>
  <c r="G51" i="37"/>
  <c r="G52" i="37" s="1"/>
  <c r="AS51" i="37"/>
  <c r="BI51" i="37" s="1"/>
  <c r="G51" i="36"/>
  <c r="G52" i="36" s="1"/>
  <c r="AS51" i="36"/>
  <c r="BI51" i="36" s="1"/>
  <c r="V50" i="36"/>
  <c r="G52" i="35"/>
  <c r="V51" i="35"/>
  <c r="V52" i="35" s="1"/>
  <c r="V50" i="38"/>
  <c r="G51" i="38"/>
  <c r="AS51" i="38"/>
  <c r="BI51" i="38" s="1"/>
  <c r="Q52" i="37"/>
  <c r="Q52" i="36"/>
  <c r="Q52" i="34"/>
  <c r="V51" i="34"/>
  <c r="V52" i="34" s="1"/>
  <c r="V51" i="36" l="1"/>
  <c r="V52" i="36" s="1"/>
  <c r="V51" i="37"/>
  <c r="V52" i="37" s="1"/>
  <c r="G52" i="38"/>
  <c r="V51" i="38"/>
  <c r="V52" i="38" s="1"/>
  <c r="T67" i="29" l="1"/>
  <c r="AW63" i="29"/>
  <c r="AW62" i="29"/>
  <c r="AW61" i="29"/>
  <c r="AD53" i="29"/>
  <c r="H53" i="29"/>
  <c r="BN51" i="29"/>
  <c r="L49" i="29"/>
  <c r="L50" i="29" s="1"/>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48" i="29"/>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48" i="28" l="1"/>
  <c r="AW60" i="28"/>
  <c r="AS60" i="28"/>
  <c r="AS32" i="28" s="1"/>
  <c r="CI3" i="28"/>
  <c r="Q50" i="28"/>
  <c r="BV51" i="28"/>
  <c r="CI6" i="28"/>
  <c r="L49" i="28"/>
  <c r="L50" i="28" s="1"/>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49" i="21"/>
  <c r="L50" i="21" s="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W48" i="20"/>
  <c r="AP57" i="21"/>
  <c r="BA48" i="21" s="1"/>
  <c r="AH57" i="21"/>
  <c r="Q49" i="21" s="1"/>
  <c r="AP62" i="21"/>
  <c r="CI8" i="21" s="1"/>
  <c r="AH62" i="21"/>
  <c r="AS48" i="20"/>
  <c r="L49" i="20"/>
  <c r="L50" i="20" s="1"/>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AW48" i="21"/>
  <c r="BE48" i="21" s="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L49" i="12"/>
  <c r="CI7" i="12"/>
  <c r="S143" i="18" s="1"/>
  <c r="AW48" i="12"/>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Q18" i="18" s="1"/>
  <c r="AW51" i="12"/>
  <c r="AC51" i="12"/>
  <c r="BE51" i="12"/>
  <c r="AM129" i="18"/>
  <c r="AK134" i="18" s="1"/>
  <c r="AK225" i="18" s="1"/>
  <c r="V50" i="12"/>
  <c r="S118" i="18" l="1"/>
  <c r="L52" i="12"/>
  <c r="T106" i="18"/>
  <c r="AK114" i="18" s="1"/>
  <c r="G52" i="12"/>
  <c r="V52" i="12"/>
  <c r="BI51" i="12"/>
  <c r="Q19" i="18" l="1"/>
  <c r="Q25" i="18" s="1"/>
  <c r="Y25" i="18" s="1"/>
  <c r="AK212" i="18" s="1"/>
  <c r="AK125" i="18"/>
  <c r="AK224" i="18" s="1"/>
  <c r="AK222" i="18"/>
  <c r="Q21" i="18"/>
  <c r="Y20" i="18"/>
  <c r="AK210" i="18" s="1"/>
  <c r="AC52" i="12"/>
  <c r="Y21" i="18" l="1"/>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<sst xmlns="http://schemas.openxmlformats.org/spreadsheetml/2006/main" count="6514" uniqueCount="2397">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</sst>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6">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15" xfId="0" applyFont="1" applyFill="1" applyBorder="1" applyAlignment="1" applyProtection="1">
      <alignment horizontal="left" vertical="center"/>
    </xf>
    <xf numFmtId="0" fontId="64" fillId="2" borderId="1"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3" fillId="2" borderId="137"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62"/>
              <a:chExt cx="301792" cy="780086"/>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17"/>
              <a:chExt cx="308373" cy="759871"/>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78"/>
              <a:chExt cx="301792" cy="494737"/>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1"/>
              <a:chExt cx="308373" cy="779254"/>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612" y="8167942"/>
              <a:chExt cx="225530" cy="793279"/>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44" y="8163150"/>
              <a:chExt cx="208417" cy="747995"/>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81" y="7286478"/>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62"/>
              <a:chExt cx="301792" cy="780086"/>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17"/>
              <a:chExt cx="308373" cy="759871"/>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78"/>
              <a:chExt cx="301792" cy="494737"/>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1"/>
              <a:chExt cx="308373" cy="779254"/>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612" y="8167942"/>
              <a:chExt cx="225530" cy="793279"/>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44" y="8163150"/>
              <a:chExt cx="208417" cy="747995"/>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81" y="7286478"/>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35"/>
              <a:chExt cx="303832" cy="48691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65"/>
              <a:chExt cx="301792" cy="78009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5"/>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94"/>
              <a:chExt cx="301792" cy="49478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5"/>
              <a:chExt cx="308371" cy="779273"/>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610" y="8168753"/>
              <a:chExt cx="21759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79" y="8166029"/>
              <a:chExt cx="208649" cy="749775"/>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0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35"/>
              <a:chExt cx="303832" cy="486918"/>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65"/>
              <a:chExt cx="301792" cy="780096"/>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5"/>
              <a:chExt cx="308371" cy="762880"/>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894"/>
              <a:chExt cx="301792" cy="494782"/>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5"/>
              <a:chExt cx="308371" cy="779273"/>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610" y="8168753"/>
              <a:chExt cx="217594"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79" y="8166029"/>
              <a:chExt cx="208649" cy="749775"/>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08"/>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35"/>
              <a:chExt cx="303832" cy="486918"/>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65"/>
              <a:chExt cx="301792" cy="780096"/>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5"/>
              <a:chExt cx="308371" cy="762880"/>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894"/>
              <a:chExt cx="301792" cy="494782"/>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5"/>
              <a:chExt cx="308371" cy="779273"/>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610" y="8168753"/>
              <a:chExt cx="217594" cy="79244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79" y="8166029"/>
              <a:chExt cx="208649" cy="749775"/>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08"/>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35"/>
              <a:chExt cx="303832" cy="486918"/>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5"/>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65"/>
              <a:chExt cx="301792" cy="780096"/>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5"/>
              <a:chExt cx="308371" cy="762880"/>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894"/>
              <a:chExt cx="301792" cy="494782"/>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0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5"/>
              <a:chExt cx="308371" cy="779273"/>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5"/>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610" y="8168753"/>
              <a:chExt cx="217594"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1" y="8168753"/>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10" y="872306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79" y="8166029"/>
              <a:chExt cx="208649" cy="749775"/>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19"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79" y="864068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08"/>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62"/>
              <a:chExt cx="301792" cy="780086"/>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17"/>
              <a:chExt cx="308373"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78"/>
              <a:chExt cx="301792" cy="494737"/>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1"/>
              <a:chExt cx="308373" cy="779254"/>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612" y="8167942"/>
              <a:chExt cx="225530" cy="793279"/>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44" y="8163150"/>
              <a:chExt cx="208417" cy="747995"/>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81" y="7286478"/>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62"/>
              <a:chExt cx="301792" cy="780086"/>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17"/>
              <a:chExt cx="308373" cy="759871"/>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78"/>
              <a:chExt cx="301792" cy="494737"/>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1"/>
              <a:chExt cx="308373" cy="779254"/>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612" y="8167942"/>
              <a:chExt cx="225530" cy="793279"/>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44" y="8163150"/>
              <a:chExt cx="208417" cy="747995"/>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81" y="7286478"/>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62"/>
              <a:chExt cx="301792" cy="780086"/>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17"/>
              <a:chExt cx="308373" cy="759871"/>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78"/>
              <a:chExt cx="301792" cy="494737"/>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1"/>
              <a:chExt cx="308373" cy="779254"/>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612" y="8167942"/>
              <a:chExt cx="225530" cy="793279"/>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44" y="8163150"/>
              <a:chExt cx="208417" cy="747995"/>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81" y="7286478"/>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62"/>
              <a:chExt cx="301792" cy="780086"/>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62"/>
                <a:ext cx="301792" cy="2392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3"/>
                <a:ext cx="301792" cy="249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17"/>
              <a:chExt cx="308373" cy="759871"/>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17"/>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0"/>
                <a:ext cx="308371" cy="2185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78"/>
              <a:chExt cx="301792" cy="494737"/>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7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5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1"/>
              <a:chExt cx="308373" cy="779254"/>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1"/>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1"/>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612" y="8167942"/>
              <a:chExt cx="225530" cy="793279"/>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50" y="8167942"/>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12" y="8722150"/>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44" y="8163150"/>
              <a:chExt cx="208417" cy="747995"/>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44" y="8163150"/>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44" y="8642628"/>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81" y="7286478"/>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81" y="728647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7" y="775091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topLeftCell="A2" zoomScaleNormal="120" zoomScaleSheetLayoutView="100" zoomScalePageLayoutView="64" workbookViewId="0">
      <selection activeCell="A2" sqref="A2"/>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t="s">
        <v>2334</v>
      </c>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2205</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t="s">
        <v>2335</v>
      </c>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t="s">
        <v>2335</v>
      </c>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2019</v>
      </c>
      <c r="C8" s="974"/>
      <c r="D8" s="974"/>
      <c r="E8" s="974"/>
      <c r="F8" s="974"/>
      <c r="G8" s="975"/>
      <c r="H8" s="166" t="s">
        <v>2183</v>
      </c>
      <c r="I8" s="540">
        <v>100</v>
      </c>
      <c r="J8" s="540"/>
      <c r="K8" s="167" t="s">
        <v>2185</v>
      </c>
      <c r="L8" s="540">
        <v>1234</v>
      </c>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t="s">
        <v>2336</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t="s">
        <v>2337</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t="s">
        <v>2338</v>
      </c>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2020</v>
      </c>
      <c r="C12" s="961"/>
      <c r="D12" s="961"/>
      <c r="E12" s="961"/>
      <c r="F12" s="961"/>
      <c r="G12" s="962"/>
      <c r="H12" s="963" t="s">
        <v>2339</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2021</v>
      </c>
      <c r="C13" s="965"/>
      <c r="D13" s="965"/>
      <c r="E13" s="965"/>
      <c r="F13" s="965"/>
      <c r="G13" s="965"/>
      <c r="H13" s="966" t="s">
        <v>24</v>
      </c>
      <c r="I13" s="965"/>
      <c r="J13" s="965"/>
      <c r="K13" s="965"/>
      <c r="L13" s="967" t="s">
        <v>2340</v>
      </c>
      <c r="M13" s="968"/>
      <c r="N13" s="968"/>
      <c r="O13" s="968"/>
      <c r="P13" s="968"/>
      <c r="Q13" s="968"/>
      <c r="R13" s="968"/>
      <c r="S13" s="968"/>
      <c r="T13" s="968"/>
      <c r="U13" s="969"/>
      <c r="V13" s="970" t="s">
        <v>2184</v>
      </c>
      <c r="W13" s="971"/>
      <c r="X13" s="971"/>
      <c r="Y13" s="966"/>
      <c r="Z13" s="972" t="s">
        <v>2341</v>
      </c>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8366100</v>
      </c>
      <c r="R18" s="550"/>
      <c r="S18" s="550"/>
      <c r="T18" s="550"/>
      <c r="U18" s="550"/>
      <c r="V18" s="55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3977100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v>1200000</v>
      </c>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2074</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2075</v>
      </c>
      <c r="D21" s="548"/>
      <c r="E21" s="548"/>
      <c r="F21" s="548"/>
      <c r="G21" s="548"/>
      <c r="H21" s="548"/>
      <c r="I21" s="548"/>
      <c r="J21" s="548"/>
      <c r="K21" s="548"/>
      <c r="L21" s="548"/>
      <c r="M21" s="548"/>
      <c r="N21" s="548"/>
      <c r="O21" s="548"/>
      <c r="P21" s="548"/>
      <c r="Q21" s="549">
        <f>Q18-Q20</f>
        <v>7166100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2147</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v>8100000</v>
      </c>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2076</v>
      </c>
      <c r="D25" s="547"/>
      <c r="E25" s="547"/>
      <c r="F25" s="547"/>
      <c r="G25" s="547"/>
      <c r="H25" s="547"/>
      <c r="I25" s="547"/>
      <c r="J25" s="547"/>
      <c r="K25" s="547"/>
      <c r="L25" s="547"/>
      <c r="M25" s="547"/>
      <c r="N25" s="547"/>
      <c r="O25" s="547"/>
      <c r="P25" s="564"/>
      <c r="Q25" s="944">
        <f>Q19-Q20</f>
        <v>2777100</v>
      </c>
      <c r="R25" s="945"/>
      <c r="S25" s="945"/>
      <c r="T25" s="945"/>
      <c r="U25" s="945"/>
      <c r="V25" s="945"/>
      <c r="W25" s="176" t="s">
        <v>31</v>
      </c>
      <c r="X25" s="72" t="s">
        <v>38</v>
      </c>
      <c r="Y25" s="709" t="str">
        <f>IFERROR(IF(Q25&lt;=0,"",IF(Q26&gt;=Q25,"○","△")),"")</f>
        <v>△</v>
      </c>
      <c r="Z25" s="72" t="s">
        <v>38</v>
      </c>
      <c r="AA25" s="552" t="str">
        <f>IFERROR(IF(Y25="△",IF(Q28&gt;=Q25,"○","△"),""),"")</f>
        <v>○</v>
      </c>
      <c r="AB25" s="155"/>
      <c r="AC25" s="155"/>
      <c r="AD25" s="155"/>
      <c r="AE25" s="155"/>
      <c r="AF25" s="155"/>
      <c r="AG25" s="155"/>
      <c r="AH25" s="155"/>
      <c r="AI25" s="155"/>
      <c r="AJ25" s="155"/>
      <c r="AK25" s="155"/>
      <c r="AL25" s="155"/>
    </row>
    <row r="26" spans="1:55" ht="37.5" customHeight="1" thickBot="1">
      <c r="A26" s="155"/>
      <c r="B26" s="184" t="s">
        <v>44</v>
      </c>
      <c r="C26" s="547" t="s">
        <v>2148</v>
      </c>
      <c r="D26" s="547"/>
      <c r="E26" s="547"/>
      <c r="F26" s="547"/>
      <c r="G26" s="547"/>
      <c r="H26" s="547"/>
      <c r="I26" s="547"/>
      <c r="J26" s="547"/>
      <c r="K26" s="547"/>
      <c r="L26" s="547"/>
      <c r="M26" s="547"/>
      <c r="N26" s="547"/>
      <c r="O26" s="547"/>
      <c r="P26" s="564"/>
      <c r="Q26" s="557">
        <v>2300000</v>
      </c>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2077</v>
      </c>
      <c r="D27" s="547"/>
      <c r="E27" s="547"/>
      <c r="F27" s="547"/>
      <c r="G27" s="547"/>
      <c r="H27" s="547"/>
      <c r="I27" s="547"/>
      <c r="J27" s="547"/>
      <c r="K27" s="547"/>
      <c r="L27" s="547"/>
      <c r="M27" s="547"/>
      <c r="N27" s="547"/>
      <c r="O27" s="547"/>
      <c r="P27" s="564"/>
      <c r="Q27" s="557">
        <v>600000</v>
      </c>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2149</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2078</v>
      </c>
      <c r="D28" s="547"/>
      <c r="E28" s="547"/>
      <c r="F28" s="547"/>
      <c r="G28" s="547"/>
      <c r="H28" s="547"/>
      <c r="I28" s="547"/>
      <c r="J28" s="547"/>
      <c r="K28" s="547"/>
      <c r="L28" s="547"/>
      <c r="M28" s="547"/>
      <c r="N28" s="547"/>
      <c r="O28" s="547"/>
      <c r="P28" s="564"/>
      <c r="Q28" s="940">
        <f>Q26+Q27</f>
        <v>2900000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2195</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2208</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2079</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2150</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v>6</v>
      </c>
      <c r="R43" s="932"/>
      <c r="S43" s="196" t="s">
        <v>53</v>
      </c>
      <c r="T43" s="933">
        <v>6</v>
      </c>
      <c r="U43" s="934"/>
      <c r="V43" s="197" t="s">
        <v>54</v>
      </c>
      <c r="W43" s="935" t="s">
        <v>55</v>
      </c>
      <c r="X43" s="935"/>
      <c r="Y43" s="935" t="s">
        <v>52</v>
      </c>
      <c r="Z43" s="936"/>
      <c r="AA43" s="933">
        <v>7</v>
      </c>
      <c r="AB43" s="934"/>
      <c r="AC43" s="198" t="s">
        <v>53</v>
      </c>
      <c r="AD43" s="933">
        <v>5</v>
      </c>
      <c r="AE43" s="934"/>
      <c r="AF43" s="197" t="s">
        <v>54</v>
      </c>
      <c r="AG43" s="197" t="s">
        <v>56</v>
      </c>
      <c r="AH43" s="197">
        <f>IF(Q43&gt;=1,(AA43*12+AD43)-(Q43*12+T43)+1,"")</f>
        <v>12</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2010</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2010</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t="s">
        <v>2342</v>
      </c>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2082</v>
      </c>
      <c r="AR49" s="69" t="b">
        <v>0</v>
      </c>
      <c r="AS49" s="736" t="s">
        <v>2080</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0</v>
      </c>
      <c r="AN50" s="736" t="s">
        <v>2083</v>
      </c>
      <c r="AO50" s="736"/>
      <c r="AP50" s="736"/>
      <c r="AR50" s="69" t="b">
        <v>1</v>
      </c>
      <c r="AS50" s="736" t="s">
        <v>2081</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1</v>
      </c>
      <c r="AN52" s="736" t="s">
        <v>62</v>
      </c>
      <c r="AO52" s="736"/>
      <c r="AP52" s="736"/>
      <c r="AR52" s="69" t="b">
        <v>1</v>
      </c>
      <c r="AS52" s="736" t="s">
        <v>2084</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736" t="s">
        <v>63</v>
      </c>
      <c r="AO53" s="736"/>
      <c r="AP53" s="736"/>
      <c r="AQ53" s="157"/>
      <c r="AR53" s="69" t="b">
        <v>0</v>
      </c>
      <c r="AS53" s="736" t="s">
        <v>77</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t="s">
        <v>73</v>
      </c>
      <c r="N54" s="875"/>
      <c r="O54" s="875"/>
      <c r="P54" s="875">
        <v>30</v>
      </c>
      <c r="Q54" s="875"/>
      <c r="R54" s="214" t="s">
        <v>74</v>
      </c>
      <c r="S54" s="875">
        <v>4</v>
      </c>
      <c r="T54" s="875"/>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736" t="s">
        <v>64</v>
      </c>
      <c r="AO54" s="736"/>
      <c r="AP54" s="736"/>
      <c r="AR54" s="69" t="b">
        <v>1</v>
      </c>
      <c r="AS54" s="736" t="s">
        <v>2085</v>
      </c>
      <c r="AT54" s="736"/>
    </row>
    <row r="55" spans="1:59" ht="24.75" customHeight="1">
      <c r="A55" s="155"/>
      <c r="B55" s="876" t="s">
        <v>78</v>
      </c>
      <c r="C55" s="877"/>
      <c r="D55" s="877"/>
      <c r="E55" s="878"/>
      <c r="F55" s="882"/>
      <c r="G55" s="884" t="s">
        <v>79</v>
      </c>
      <c r="H55" s="885"/>
      <c r="I55" s="886"/>
      <c r="J55" s="884" t="s">
        <v>80</v>
      </c>
      <c r="K55" s="885"/>
      <c r="L55" s="885"/>
      <c r="M55" s="890"/>
      <c r="N55" s="891" t="s">
        <v>2343</v>
      </c>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2233</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2086</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81</v>
      </c>
      <c r="D60" s="861"/>
      <c r="E60" s="861"/>
      <c r="F60" s="861"/>
      <c r="G60" s="861"/>
      <c r="H60" s="861"/>
      <c r="I60" s="861"/>
      <c r="J60" s="861"/>
      <c r="K60" s="861"/>
      <c r="L60" s="861"/>
      <c r="M60" s="861"/>
      <c r="N60" s="861"/>
      <c r="O60" s="861"/>
      <c r="P60" s="861"/>
      <c r="Q60" s="861"/>
      <c r="R60" s="861"/>
      <c r="S60" s="862"/>
      <c r="T60" s="863">
        <f>SUM('別紙様式6-2 事業所個票１:事業所個票10'!$BN$51)</f>
        <v>2989250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2087</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82</v>
      </c>
      <c r="D61" s="869"/>
      <c r="E61" s="869"/>
      <c r="F61" s="869"/>
      <c r="G61" s="869"/>
      <c r="H61" s="869"/>
      <c r="I61" s="869"/>
      <c r="J61" s="869"/>
      <c r="K61" s="869"/>
      <c r="L61" s="869"/>
      <c r="M61" s="869"/>
      <c r="N61" s="869"/>
      <c r="O61" s="869"/>
      <c r="P61" s="869"/>
      <c r="Q61" s="869"/>
      <c r="R61" s="869"/>
      <c r="S61" s="870"/>
      <c r="T61" s="871">
        <v>3000000</v>
      </c>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2151</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2152</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85</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2153</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2154</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86</v>
      </c>
      <c r="AF68" s="238" t="s">
        <v>69</v>
      </c>
      <c r="AG68" s="155" t="s">
        <v>38</v>
      </c>
      <c r="AH68" s="183" t="str">
        <f>IF(T67=0,"",(IF(AB68&gt;=200/3,"○","×")))</f>
        <v/>
      </c>
      <c r="AI68" s="221"/>
      <c r="AJ68" s="221"/>
      <c r="AK68" s="221"/>
      <c r="AL68" s="155"/>
      <c r="AM68" s="648" t="s">
        <v>2155</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2156</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87</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89" t="s">
        <v>2157</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1</v>
      </c>
      <c r="AN74" s="736" t="s">
        <v>2088</v>
      </c>
      <c r="AO74" s="736"/>
      <c r="AP74" s="736"/>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2158</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v>
      </c>
      <c r="AA75" s="251"/>
      <c r="AB75" s="251"/>
      <c r="AC75" s="251"/>
      <c r="AD75" s="251"/>
      <c r="AE75" s="251"/>
      <c r="AF75" s="251"/>
      <c r="AG75" s="251"/>
      <c r="AH75" s="251"/>
      <c r="AI75" s="251"/>
      <c r="AJ75" s="251"/>
      <c r="AK75" s="251"/>
      <c r="AL75" s="251"/>
      <c r="AM75" s="648" t="s">
        <v>84</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838" t="s">
        <v>2232</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89</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193300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90</v>
      </c>
      <c r="D80" s="694"/>
      <c r="E80" s="694"/>
      <c r="F80" s="694"/>
      <c r="G80" s="694"/>
      <c r="H80" s="694"/>
      <c r="I80" s="694"/>
      <c r="J80" s="694"/>
      <c r="K80" s="694"/>
      <c r="L80" s="694"/>
      <c r="M80" s="694"/>
      <c r="N80" s="694"/>
      <c r="O80" s="694"/>
      <c r="P80" s="694"/>
      <c r="Q80" s="694"/>
      <c r="R80" s="694"/>
      <c r="S80" s="694"/>
      <c r="T80" s="695"/>
      <c r="U80" s="840">
        <f>U81+U86</f>
        <v>198000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2234</v>
      </c>
      <c r="D81" s="806"/>
      <c r="E81" s="810" t="s">
        <v>91</v>
      </c>
      <c r="F81" s="811"/>
      <c r="G81" s="811"/>
      <c r="H81" s="811"/>
      <c r="I81" s="811"/>
      <c r="J81" s="811"/>
      <c r="K81" s="811"/>
      <c r="L81" s="811"/>
      <c r="M81" s="811"/>
      <c r="N81" s="811"/>
      <c r="O81" s="811"/>
      <c r="P81" s="811"/>
      <c r="Q81" s="811"/>
      <c r="R81" s="811"/>
      <c r="S81" s="811"/>
      <c r="T81" s="812"/>
      <c r="U81" s="816">
        <v>123000</v>
      </c>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73.170731707317074</v>
      </c>
      <c r="AD82" s="823"/>
      <c r="AE82" s="824"/>
      <c r="AF82" s="828" t="s">
        <v>86</v>
      </c>
      <c r="AG82" s="828" t="s">
        <v>69</v>
      </c>
      <c r="AH82" s="779" t="s">
        <v>38</v>
      </c>
      <c r="AI82" s="552" t="str">
        <f>IF(U81=0,"",IF(AND(AC82&gt;=200/3,AC82&lt;=100),"○","×"))</f>
        <v>○</v>
      </c>
      <c r="AJ82" s="221"/>
      <c r="AK82" s="155"/>
      <c r="AL82" s="221"/>
      <c r="AM82" s="780" t="s">
        <v>2354</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2160</v>
      </c>
      <c r="G83" s="787"/>
      <c r="H83" s="787"/>
      <c r="I83" s="787"/>
      <c r="J83" s="787"/>
      <c r="K83" s="787"/>
      <c r="L83" s="787"/>
      <c r="M83" s="787"/>
      <c r="N83" s="787"/>
      <c r="O83" s="787"/>
      <c r="P83" s="787"/>
      <c r="Q83" s="787"/>
      <c r="R83" s="787"/>
      <c r="S83" s="787"/>
      <c r="T83" s="787"/>
      <c r="U83" s="792">
        <v>90000</v>
      </c>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45000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92</v>
      </c>
      <c r="D86" s="804"/>
      <c r="E86" s="810" t="s">
        <v>93</v>
      </c>
      <c r="F86" s="811"/>
      <c r="G86" s="811"/>
      <c r="H86" s="811"/>
      <c r="I86" s="811"/>
      <c r="J86" s="811"/>
      <c r="K86" s="811"/>
      <c r="L86" s="811"/>
      <c r="M86" s="811"/>
      <c r="N86" s="811"/>
      <c r="O86" s="811"/>
      <c r="P86" s="811"/>
      <c r="Q86" s="811"/>
      <c r="R86" s="811"/>
      <c r="S86" s="811"/>
      <c r="T86" s="812"/>
      <c r="U86" s="816">
        <v>75000</v>
      </c>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82.666666666666671</v>
      </c>
      <c r="AD87" s="823"/>
      <c r="AE87" s="824"/>
      <c r="AF87" s="828" t="s">
        <v>86</v>
      </c>
      <c r="AG87" s="828" t="s">
        <v>69</v>
      </c>
      <c r="AH87" s="779" t="s">
        <v>38</v>
      </c>
      <c r="AI87" s="552" t="str">
        <f>IF(U86=0,"",IF(AND(AC87&gt;=200/3,AC82&lt;=100),"○","×"))</f>
        <v>○</v>
      </c>
      <c r="AJ87" s="221"/>
      <c r="AK87" s="221"/>
      <c r="AL87" s="221"/>
      <c r="AM87" s="780" t="s">
        <v>2161</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2162</v>
      </c>
      <c r="G88" s="787"/>
      <c r="H88" s="787"/>
      <c r="I88" s="787"/>
      <c r="J88" s="787"/>
      <c r="K88" s="787"/>
      <c r="L88" s="787"/>
      <c r="M88" s="787"/>
      <c r="N88" s="787"/>
      <c r="O88" s="787"/>
      <c r="P88" s="787"/>
      <c r="Q88" s="787"/>
      <c r="R88" s="787"/>
      <c r="S88" s="787"/>
      <c r="T88" s="787"/>
      <c r="U88" s="792">
        <v>62000</v>
      </c>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31000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95</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4.25"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該当</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76" t="str">
        <f>IF(SUM('別紙様式6-2 事業所個票１:事業所個票10'!CI4)=0,"該当","")</f>
        <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100</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101</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2088</v>
      </c>
      <c r="AO99" s="736"/>
      <c r="AP99" s="736"/>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736" t="s">
        <v>2089</v>
      </c>
      <c r="AO100" s="736"/>
      <c r="AP100" s="736"/>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106</v>
      </c>
      <c r="D103" s="741"/>
      <c r="E103" s="741"/>
      <c r="F103" s="741"/>
      <c r="G103" s="741"/>
      <c r="H103" s="741"/>
      <c r="I103" s="741"/>
      <c r="J103" s="741"/>
      <c r="K103" s="741"/>
      <c r="L103" s="224"/>
      <c r="M103" s="702"/>
      <c r="N103" s="703"/>
      <c r="O103" s="773" t="s">
        <v>2235</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2011</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107</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108</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59"/>
      <c r="C107" s="280" t="s">
        <v>102</v>
      </c>
      <c r="D107" s="760" t="s">
        <v>2209</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2088</v>
      </c>
      <c r="AO107" s="736"/>
      <c r="AP107" s="736"/>
      <c r="AQ107" s="157"/>
      <c r="AR107" s="69" t="b">
        <v>0</v>
      </c>
      <c r="AS107" s="736" t="s">
        <v>2090</v>
      </c>
      <c r="AT107" s="736"/>
      <c r="AU107" s="736"/>
    </row>
    <row r="108" spans="1:55" s="165" customFormat="1" ht="25.5" customHeight="1" thickBot="1">
      <c r="A108" s="164"/>
      <c r="B108" s="759"/>
      <c r="C108" s="711"/>
      <c r="D108" s="713" t="s">
        <v>109</v>
      </c>
      <c r="E108" s="714"/>
      <c r="F108" s="714"/>
      <c r="G108" s="714"/>
      <c r="H108" s="746"/>
      <c r="I108" s="748" t="s">
        <v>32</v>
      </c>
      <c r="J108" s="750" t="s">
        <v>2229</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1</v>
      </c>
      <c r="AN108" s="736" t="s">
        <v>2089</v>
      </c>
      <c r="AO108" s="736"/>
      <c r="AP108" s="736"/>
      <c r="AQ108" s="301"/>
      <c r="AR108" s="69" t="b">
        <v>0</v>
      </c>
      <c r="AS108" s="736" t="s">
        <v>2091</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2357</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2163</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110</v>
      </c>
      <c r="K110" s="303"/>
      <c r="L110" s="303"/>
      <c r="M110" s="303"/>
      <c r="N110" s="303"/>
      <c r="O110" s="303"/>
      <c r="P110" s="303"/>
      <c r="Q110" s="303"/>
      <c r="R110" s="303"/>
      <c r="S110" s="768" t="s">
        <v>111</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2358</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2164</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2165</v>
      </c>
      <c r="D114" s="741"/>
      <c r="E114" s="741"/>
      <c r="F114" s="741"/>
      <c r="G114" s="741"/>
      <c r="H114" s="741"/>
      <c r="I114" s="741"/>
      <c r="J114" s="741"/>
      <c r="K114" s="741"/>
      <c r="L114" s="224"/>
      <c r="M114" s="702"/>
      <c r="N114" s="703"/>
      <c r="O114" s="742" t="s">
        <v>112</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2012</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113</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736" t="s">
        <v>2090</v>
      </c>
      <c r="AT117" s="736"/>
      <c r="AU117" s="736"/>
    </row>
    <row r="118" spans="1:55" s="165" customFormat="1" ht="20.25" customHeight="1" thickBot="1">
      <c r="A118" s="164"/>
      <c r="B118" s="702"/>
      <c r="C118" s="703"/>
      <c r="D118" s="737" t="s">
        <v>108</v>
      </c>
      <c r="E118" s="737"/>
      <c r="F118" s="737"/>
      <c r="G118" s="737"/>
      <c r="H118" s="737"/>
      <c r="I118" s="737"/>
      <c r="J118" s="737"/>
      <c r="K118" s="737"/>
      <c r="L118" s="737"/>
      <c r="M118" s="737"/>
      <c r="N118" s="737"/>
      <c r="O118" s="737"/>
      <c r="P118" s="737"/>
      <c r="Q118" s="738"/>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736" t="s">
        <v>2088</v>
      </c>
      <c r="AO118" s="736"/>
      <c r="AP118" s="736"/>
      <c r="AR118" s="69" t="b">
        <v>0</v>
      </c>
      <c r="AS118" s="736" t="s">
        <v>2091</v>
      </c>
      <c r="AT118" s="736"/>
      <c r="AU118" s="736"/>
    </row>
    <row r="119" spans="1:55" s="165" customFormat="1" ht="28.5" customHeight="1" thickBot="1">
      <c r="A119" s="164"/>
      <c r="B119" s="280" t="s">
        <v>102</v>
      </c>
      <c r="C119" s="739" t="s">
        <v>2211</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2089</v>
      </c>
      <c r="AO119" s="736"/>
      <c r="AP119" s="736"/>
      <c r="AR119" s="69" t="b">
        <v>0</v>
      </c>
      <c r="AS119" s="736" t="s">
        <v>2092</v>
      </c>
      <c r="AT119" s="736"/>
      <c r="AU119" s="736"/>
    </row>
    <row r="120" spans="1:55" s="165" customFormat="1" ht="25.5" customHeight="1">
      <c r="A120" s="164"/>
      <c r="B120" s="711"/>
      <c r="C120" s="713" t="s">
        <v>115</v>
      </c>
      <c r="D120" s="714"/>
      <c r="E120" s="714"/>
      <c r="F120" s="714"/>
      <c r="G120" s="316"/>
      <c r="H120" s="317" t="s">
        <v>32</v>
      </c>
      <c r="I120" s="719" t="s">
        <v>116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2166</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103</v>
      </c>
      <c r="C123" s="698" t="s">
        <v>2210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2167</v>
      </c>
      <c r="C125" s="701"/>
      <c r="D125" s="701"/>
      <c r="E125" s="701"/>
      <c r="F125" s="701"/>
      <c r="G125" s="701"/>
      <c r="H125" s="701"/>
      <c r="I125" s="701"/>
      <c r="J125" s="701"/>
      <c r="K125" s="701"/>
      <c r="L125" s="224"/>
      <c r="M125" s="702"/>
      <c r="N125" s="703"/>
      <c r="O125" s="704" t="s">
        <v>119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2013</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120</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122</v>
      </c>
      <c r="C129" s="928"/>
      <c r="D129" s="928"/>
      <c r="E129" s="928"/>
      <c r="F129" s="928"/>
      <c r="G129" s="928"/>
      <c r="H129" s="928"/>
      <c r="I129" s="928"/>
      <c r="J129" s="928"/>
      <c r="K129" s="928"/>
      <c r="L129" s="706" t="s">
        <v>2177</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2179</v>
      </c>
      <c r="AD129" s="709" t="str">
        <f>IF(AB130=0,"",IF(AB129&gt;=AB130,"○","×"))</f>
        <v>×</v>
      </c>
      <c r="AE129" s="155"/>
      <c r="AF129" s="155"/>
      <c r="AG129" s="155"/>
      <c r="AH129" s="155"/>
      <c r="AI129" s="155"/>
      <c r="AJ129" s="155"/>
      <c r="AK129" s="155"/>
      <c r="AL129" s="155"/>
      <c r="AM129" s="326" t="str">
        <f>IF(OR(AD129="×",AD131="×"),"×","")</f>
        <v>×</v>
      </c>
    </row>
    <row r="130" spans="1:56" ht="24.75" customHeight="1" thickBot="1">
      <c r="A130" s="155"/>
      <c r="B130" s="958"/>
      <c r="C130" s="959"/>
      <c r="D130" s="959"/>
      <c r="E130" s="959"/>
      <c r="F130" s="959"/>
      <c r="G130" s="959"/>
      <c r="H130" s="959"/>
      <c r="I130" s="959"/>
      <c r="J130" s="959"/>
      <c r="K130" s="959"/>
      <c r="L130" s="706" t="s">
        <v>2178</v>
      </c>
      <c r="M130" s="706"/>
      <c r="N130" s="706"/>
      <c r="O130" s="706"/>
      <c r="P130" s="706"/>
      <c r="Q130" s="706"/>
      <c r="R130" s="706"/>
      <c r="S130" s="706"/>
      <c r="T130" s="706"/>
      <c r="U130" s="706"/>
      <c r="V130" s="706"/>
      <c r="W130" s="706"/>
      <c r="X130" s="706"/>
      <c r="Y130" s="706"/>
      <c r="Z130" s="706"/>
      <c r="AA130" s="707"/>
      <c r="AB130" s="325">
        <f>SUM('別紙様式6-2 事業所個票１:事業所個票10'!CI6)</f>
        <v>1</v>
      </c>
      <c r="AC130" s="708"/>
      <c r="AD130" s="710"/>
      <c r="AE130" s="155"/>
      <c r="AF130" s="155"/>
      <c r="AG130" s="155"/>
      <c r="AH130" s="155"/>
      <c r="AI130" s="155"/>
      <c r="AJ130" s="155"/>
      <c r="AK130" s="155"/>
      <c r="AL130" s="155"/>
    </row>
    <row r="131" spans="1:56" ht="24.75" customHeight="1" thickBot="1">
      <c r="A131" s="155"/>
      <c r="B131" s="651" t="s">
        <v>2168</v>
      </c>
      <c r="C131" s="652"/>
      <c r="D131" s="652"/>
      <c r="E131" s="652"/>
      <c r="F131" s="652"/>
      <c r="G131" s="652"/>
      <c r="H131" s="652"/>
      <c r="I131" s="652"/>
      <c r="J131" s="652"/>
      <c r="K131" s="652"/>
      <c r="L131" s="706" t="s">
        <v>2177</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2179</v>
      </c>
      <c r="AD131" s="709" t="str">
        <f>IF(AB132=0,"",IF(AB131&gt;=AB132,"○","×"))</f>
        <v>○</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2178</v>
      </c>
      <c r="M132" s="706"/>
      <c r="N132" s="706"/>
      <c r="O132" s="706"/>
      <c r="P132" s="706"/>
      <c r="Q132" s="706"/>
      <c r="R132" s="706"/>
      <c r="S132" s="706"/>
      <c r="T132" s="706"/>
      <c r="U132" s="706"/>
      <c r="V132" s="706"/>
      <c r="W132" s="706"/>
      <c r="X132" s="706"/>
      <c r="Y132" s="706"/>
      <c r="Z132" s="706"/>
      <c r="AA132" s="707"/>
      <c r="AB132" s="325">
        <f>SUM('別紙様式6-2 事業所個票１:事業所個票10'!CI6)</f>
        <v>1</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48" t="s">
        <v>2169</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2172</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127</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v>
      </c>
    </row>
    <row r="142" spans="1:56" ht="14.25"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128</v>
      </c>
      <c r="C143" s="694"/>
      <c r="D143" s="694"/>
      <c r="E143" s="694"/>
      <c r="F143" s="694"/>
      <c r="G143" s="694"/>
      <c r="H143" s="694"/>
      <c r="I143" s="694"/>
      <c r="J143" s="694"/>
      <c r="K143" s="694"/>
      <c r="L143" s="694"/>
      <c r="M143" s="694"/>
      <c r="N143" s="694"/>
      <c r="O143" s="694"/>
      <c r="P143" s="694"/>
      <c r="Q143" s="695"/>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2180</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129</v>
      </c>
      <c r="C144" s="685"/>
      <c r="D144" s="685"/>
      <c r="E144" s="685"/>
      <c r="F144" s="685"/>
      <c r="G144" s="685"/>
      <c r="H144" s="685"/>
      <c r="I144" s="685"/>
      <c r="J144" s="685"/>
      <c r="K144" s="685"/>
      <c r="L144" s="685"/>
      <c r="M144" s="685"/>
      <c r="N144" s="685"/>
      <c r="O144" s="685"/>
      <c r="P144" s="685"/>
      <c r="Q144" s="686"/>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2181</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130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
      </c>
      <c r="AJ147" s="676"/>
      <c r="AK147" s="677"/>
      <c r="AL147" s="164"/>
    </row>
    <row r="148" spans="1:55" s="165" customFormat="1" ht="24" customHeight="1">
      <c r="A148" s="164"/>
      <c r="B148" s="254" t="s">
        <v>83</v>
      </c>
      <c r="C148" s="674" t="s">
        <v>132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該当</v>
      </c>
      <c r="AJ150" s="676"/>
      <c r="AK150" s="677"/>
      <c r="AL150" s="164"/>
    </row>
    <row r="151" spans="1:55" s="165" customFormat="1" ht="39" customHeight="1" thickBot="1">
      <c r="A151" s="164"/>
      <c r="B151" s="254" t="s">
        <v>83</v>
      </c>
      <c r="C151" s="674" t="s">
        <v>2228</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2214</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134</v>
      </c>
      <c r="C153" s="679"/>
      <c r="D153" s="679"/>
      <c r="E153" s="680"/>
      <c r="F153" s="681" t="s">
        <v>135</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34" t="s">
        <v>2014</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136</v>
      </c>
      <c r="C154" s="652"/>
      <c r="D154" s="652"/>
      <c r="E154" s="653"/>
      <c r="F154" s="359"/>
      <c r="G154" s="671" t="s">
        <v>2213</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654"/>
      <c r="C155" s="655"/>
      <c r="D155" s="655"/>
      <c r="E155" s="656"/>
      <c r="F155" s="360"/>
      <c r="G155" s="669" t="s">
        <v>137</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0"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138</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0"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139</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651" t="s">
        <v>140</v>
      </c>
      <c r="C158" s="652"/>
      <c r="D158" s="652"/>
      <c r="E158" s="653"/>
      <c r="F158" s="364"/>
      <c r="G158" s="668" t="s">
        <v>2219</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654"/>
      <c r="C159" s="655"/>
      <c r="D159" s="655"/>
      <c r="E159" s="656"/>
      <c r="F159" s="360"/>
      <c r="G159" s="669" t="s">
        <v>141</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0"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142</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0"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143</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651" t="s">
        <v>144</v>
      </c>
      <c r="C162" s="652"/>
      <c r="D162" s="652"/>
      <c r="E162" s="653"/>
      <c r="F162" s="368"/>
      <c r="G162" s="668" t="s">
        <v>145</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654"/>
      <c r="C163" s="655"/>
      <c r="D163" s="655"/>
      <c r="E163" s="656"/>
      <c r="F163" s="360"/>
      <c r="G163" s="669" t="s">
        <v>146</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0"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147</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0"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657"/>
      <c r="C166" s="658"/>
      <c r="D166" s="658"/>
      <c r="E166" s="659"/>
      <c r="F166" s="362"/>
      <c r="G166" s="665" t="s">
        <v>2212</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651" t="s">
        <v>149</v>
      </c>
      <c r="C167" s="652"/>
      <c r="D167" s="652"/>
      <c r="E167" s="653"/>
      <c r="F167" s="364"/>
      <c r="G167" s="666" t="s">
        <v>2218</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654"/>
      <c r="C168" s="655"/>
      <c r="D168" s="655"/>
      <c r="E168" s="656"/>
      <c r="F168" s="360"/>
      <c r="G168" s="662" t="s">
        <v>150</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0"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151</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0"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152</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651" t="s">
        <v>153</v>
      </c>
      <c r="C171" s="652"/>
      <c r="D171" s="652"/>
      <c r="E171" s="653"/>
      <c r="F171" s="368"/>
      <c r="G171" s="660" t="s">
        <v>154</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654"/>
      <c r="C172" s="655"/>
      <c r="D172" s="655"/>
      <c r="E172" s="656"/>
      <c r="F172" s="360"/>
      <c r="G172" s="662" t="s">
        <v>155</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0" t="b">
        <v>1</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156</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0"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157</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651" t="s">
        <v>158</v>
      </c>
      <c r="C175" s="652"/>
      <c r="D175" s="652"/>
      <c r="E175" s="653"/>
      <c r="F175" s="368"/>
      <c r="G175" s="660" t="s">
        <v>2217</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654"/>
      <c r="C176" s="655"/>
      <c r="D176" s="655"/>
      <c r="E176" s="656"/>
      <c r="F176" s="360"/>
      <c r="G176" s="662" t="s">
        <v>159</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0"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2216</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0"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2215</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160</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627" t="s">
        <v>163</v>
      </c>
      <c r="C182" s="628"/>
      <c r="D182" s="628"/>
      <c r="E182" s="629" t="b">
        <v>0</v>
      </c>
      <c r="F182" s="359"/>
      <c r="G182" s="619" t="s">
        <v>2220</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1</v>
      </c>
      <c r="AN182" s="634" t="s">
        <v>162</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2221</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166</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167</v>
      </c>
      <c r="AF187" s="646"/>
      <c r="AG187" s="646"/>
      <c r="AH187" s="646"/>
      <c r="AI187" s="646"/>
      <c r="AJ187" s="647"/>
      <c r="AK187" s="357" t="str">
        <f>IF(AND(AM188=TRUE,OR(Q20=0,AM189=TRUE),AM190=TRUE,AM191=TRUE,AM192=TRUE,AM193=TRUE),"○","×")</f>
        <v>○</v>
      </c>
      <c r="AL187" s="155"/>
      <c r="AM187" s="648" t="s">
        <v>2015</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168</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169</v>
      </c>
      <c r="AF188" s="622"/>
      <c r="AG188" s="622"/>
      <c r="AH188" s="622"/>
      <c r="AI188" s="622"/>
      <c r="AJ188" s="622"/>
      <c r="AK188" s="623"/>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2237</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169</v>
      </c>
      <c r="AF189" s="612"/>
      <c r="AG189" s="612"/>
      <c r="AH189" s="612"/>
      <c r="AI189" s="612"/>
      <c r="AJ189" s="612"/>
      <c r="AK189" s="613"/>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170</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171</v>
      </c>
      <c r="AF190" s="612"/>
      <c r="AG190" s="612"/>
      <c r="AH190" s="612"/>
      <c r="AI190" s="612"/>
      <c r="AJ190" s="612"/>
      <c r="AK190" s="613"/>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172</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173</v>
      </c>
      <c r="AF191" s="609"/>
      <c r="AG191" s="609"/>
      <c r="AH191" s="609"/>
      <c r="AI191" s="609"/>
      <c r="AJ191" s="609"/>
      <c r="AK191" s="610"/>
      <c r="AL191" s="155"/>
      <c r="AM191" s="69" t="b">
        <v>1</v>
      </c>
    </row>
    <row r="192" spans="1:59" s="165" customFormat="1" ht="23.25" customHeight="1">
      <c r="A192" s="164"/>
      <c r="B192" s="368"/>
      <c r="C192" s="606" t="s">
        <v>174</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175</v>
      </c>
      <c r="AF192" s="612"/>
      <c r="AG192" s="612"/>
      <c r="AH192" s="612"/>
      <c r="AI192" s="612"/>
      <c r="AJ192" s="612"/>
      <c r="AK192" s="613"/>
      <c r="AL192" s="155"/>
      <c r="AM192" s="69" t="b">
        <v>1</v>
      </c>
      <c r="AN192" s="382"/>
      <c r="AO192" s="382"/>
      <c r="AP192" s="382"/>
    </row>
    <row r="193" spans="1:59" s="165" customFormat="1" ht="13.5" customHeight="1" thickBot="1">
      <c r="A193" s="164"/>
      <c r="B193" s="372"/>
      <c r="C193" s="614" t="s">
        <v>176</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177</v>
      </c>
      <c r="AF193" s="617"/>
      <c r="AG193" s="617"/>
      <c r="AH193" s="617"/>
      <c r="AI193" s="617"/>
      <c r="AJ193" s="617"/>
      <c r="AK193" s="61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600" t="s">
        <v>2222</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180</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v>6</v>
      </c>
      <c r="F201" s="603"/>
      <c r="G201" s="393" t="s">
        <v>74</v>
      </c>
      <c r="H201" s="602" t="s">
        <v>181</v>
      </c>
      <c r="I201" s="603"/>
      <c r="J201" s="393" t="s">
        <v>182</v>
      </c>
      <c r="K201" s="602" t="s">
        <v>181</v>
      </c>
      <c r="L201" s="603"/>
      <c r="M201" s="393" t="s">
        <v>183</v>
      </c>
      <c r="N201" s="381"/>
      <c r="O201" s="604" t="s">
        <v>20</v>
      </c>
      <c r="P201" s="604"/>
      <c r="Q201" s="604"/>
      <c r="R201" s="605" t="str">
        <f>IF(H7="","",H7)</f>
        <v>○○ケアサービス</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184</v>
      </c>
      <c r="P202" s="596"/>
      <c r="Q202" s="596"/>
      <c r="R202" s="597" t="s">
        <v>22</v>
      </c>
      <c r="S202" s="597"/>
      <c r="T202" s="598" t="s">
        <v>2359</v>
      </c>
      <c r="U202" s="598"/>
      <c r="V202" s="598"/>
      <c r="W202" s="598"/>
      <c r="X202" s="598"/>
      <c r="Y202" s="599" t="s">
        <v>23</v>
      </c>
      <c r="Z202" s="599"/>
      <c r="AA202" s="598" t="s">
        <v>2360</v>
      </c>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188</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189</v>
      </c>
      <c r="C210" s="587" t="s">
        <v>190</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191</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192</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193</v>
      </c>
      <c r="C213" s="590" t="s">
        <v>194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195</v>
      </c>
      <c r="C214" s="593" t="s">
        <v>196</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2227</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189</v>
      </c>
      <c r="C217" s="571" t="s">
        <v>197</v>
      </c>
      <c r="D217" s="572"/>
      <c r="E217" s="572"/>
      <c r="F217" s="572"/>
      <c r="G217" s="572"/>
      <c r="H217" s="572"/>
      <c r="I217" s="573"/>
      <c r="J217" s="574" t="s">
        <v>198</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193</v>
      </c>
      <c r="C218" s="567" t="s">
        <v>199</v>
      </c>
      <c r="D218" s="567"/>
      <c r="E218" s="567"/>
      <c r="F218" s="567"/>
      <c r="G218" s="567"/>
      <c r="H218" s="567"/>
      <c r="I218" s="567"/>
      <c r="J218" s="568" t="s">
        <v>200</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201</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2226</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v>
      </c>
      <c r="AL220" s="421"/>
      <c r="AM220" s="157"/>
    </row>
    <row r="221" spans="1:60" s="375" customFormat="1" ht="25.5" customHeight="1">
      <c r="A221" s="371"/>
      <c r="B221" s="566"/>
      <c r="C221" s="567"/>
      <c r="D221" s="567"/>
      <c r="E221" s="567"/>
      <c r="F221" s="567"/>
      <c r="G221" s="567"/>
      <c r="H221" s="567"/>
      <c r="I221" s="567"/>
      <c r="J221" s="568" t="s">
        <v>202</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v>
      </c>
      <c r="AL221" s="421"/>
      <c r="AM221" s="157"/>
    </row>
    <row r="222" spans="1:60" s="375" customFormat="1" ht="48.75" customHeight="1">
      <c r="A222" s="371"/>
      <c r="B222" s="566" t="s">
        <v>195</v>
      </c>
      <c r="C222" s="567" t="s">
        <v>204</v>
      </c>
      <c r="D222" s="567"/>
      <c r="E222" s="567"/>
      <c r="F222" s="567"/>
      <c r="G222" s="567"/>
      <c r="H222" s="567"/>
      <c r="I222" s="567"/>
      <c r="J222" s="568" t="s">
        <v>2225</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2224</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567" t="s">
        <v>205</v>
      </c>
      <c r="D224" s="567"/>
      <c r="E224" s="567"/>
      <c r="F224" s="567"/>
      <c r="G224" s="567"/>
      <c r="H224" s="567"/>
      <c r="I224" s="567"/>
      <c r="J224" s="568" t="s">
        <v>206</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v>
      </c>
      <c r="AL224" s="155"/>
      <c r="AM224" s="157"/>
    </row>
    <row r="225" spans="1:60" s="165" customFormat="1" ht="36" customHeight="1">
      <c r="A225" s="164"/>
      <c r="B225" s="417" t="s">
        <v>2174</v>
      </c>
      <c r="C225" s="567" t="s">
        <v>207</v>
      </c>
      <c r="D225" s="567"/>
      <c r="E225" s="567"/>
      <c r="F225" s="567"/>
      <c r="G225" s="567"/>
      <c r="H225" s="567"/>
      <c r="I225" s="567"/>
      <c r="J225" s="568" t="s">
        <v>208</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2175</v>
      </c>
      <c r="C226" s="567" t="s">
        <v>210</v>
      </c>
      <c r="D226" s="567"/>
      <c r="E226" s="567"/>
      <c r="F226" s="567"/>
      <c r="G226" s="567"/>
      <c r="H226" s="567"/>
      <c r="I226" s="567"/>
      <c r="J226" s="574" t="s">
        <v>2223</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209</v>
      </c>
      <c r="C227" s="567" t="s">
        <v>211</v>
      </c>
      <c r="D227" s="567"/>
      <c r="E227" s="567"/>
      <c r="F227" s="567"/>
      <c r="G227" s="567"/>
      <c r="H227" s="567"/>
      <c r="I227" s="567"/>
      <c r="J227" s="574" t="s">
        <v>212</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213</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214</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215</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2094</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2332</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zoomScaleNormal="53" zoomScaleSheetLayoutView="100" workbookViewId="0">
      <selection activeCell="N3" sqref="N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2333</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48" customWidth="1"/>
    <col min="2" max="28" width="6.75" style="448" customWidth="1"/>
    <col min="29" max="29" width="12" style="448" customWidth="1"/>
    <col min="30" max="30" width="8" style="448" customWidth="1"/>
    <col min="31" max="31" width="46.375" style="448" customWidth="1"/>
    <col min="32" max="32" width="26.875" style="448" customWidth="1"/>
    <col min="33" max="33" width="9.125" style="448" customWidth="1"/>
    <col min="34" max="34" width="38.375" style="448" customWidth="1"/>
    <col min="35" max="35" width="38.625" style="448" customWidth="1"/>
    <col min="36" max="36" width="9" style="448"/>
    <col min="37" max="37" width="16.75" style="448" customWidth="1"/>
    <col min="38" max="42" width="9" style="448"/>
    <col min="43" max="43" width="48.5" style="448" customWidth="1"/>
    <col min="44" max="44" width="104.375" style="448" customWidth="1"/>
    <col min="45" max="16384" width="9" style="448"/>
  </cols>
  <sheetData>
    <row r="1" spans="1:44" ht="14.25" thickBot="1">
      <c r="A1" s="447" t="s">
        <v>218</v>
      </c>
      <c r="B1" s="447"/>
      <c r="C1" s="447"/>
      <c r="D1" s="447"/>
      <c r="E1" s="447"/>
      <c r="AD1" s="449"/>
      <c r="AE1" s="447" t="s">
        <v>2109</v>
      </c>
      <c r="AH1" s="448" t="s">
        <v>219</v>
      </c>
      <c r="AK1" s="448" t="s">
        <v>220</v>
      </c>
      <c r="AM1" s="450" t="s">
        <v>221</v>
      </c>
      <c r="AO1" s="447" t="s">
        <v>222</v>
      </c>
    </row>
    <row r="2" spans="1:44" ht="36.75" customHeight="1" thickBot="1">
      <c r="A2" s="1230" t="s">
        <v>224</v>
      </c>
      <c r="B2" s="1232" t="s">
        <v>2239</v>
      </c>
      <c r="C2" s="1233"/>
      <c r="D2" s="1233"/>
      <c r="E2" s="1234"/>
      <c r="F2" s="1235" t="s">
        <v>2240</v>
      </c>
      <c r="G2" s="1236"/>
      <c r="H2" s="1236"/>
      <c r="I2" s="1230" t="s">
        <v>2241</v>
      </c>
      <c r="J2" s="1237"/>
      <c r="K2" s="1240" t="s">
        <v>2242</v>
      </c>
      <c r="L2" s="1241"/>
      <c r="M2" s="1241"/>
      <c r="N2" s="1241"/>
      <c r="O2" s="1241"/>
      <c r="P2" s="1241"/>
      <c r="Q2" s="1241"/>
      <c r="R2" s="1241"/>
      <c r="S2" s="1241"/>
      <c r="T2" s="1241"/>
      <c r="U2" s="1241"/>
      <c r="V2" s="1241"/>
      <c r="W2" s="1241"/>
      <c r="X2" s="1241"/>
      <c r="Y2" s="1241"/>
      <c r="Z2" s="1241"/>
      <c r="AA2" s="1241"/>
      <c r="AB2" s="1242"/>
      <c r="AC2" s="1227" t="s">
        <v>2243</v>
      </c>
      <c r="AD2" s="449"/>
      <c r="AE2" s="1223" t="s">
        <v>224</v>
      </c>
      <c r="AF2" s="1225" t="s">
        <v>2277</v>
      </c>
      <c r="AH2" s="444" t="s">
        <v>2244</v>
      </c>
      <c r="AI2" s="445" t="s">
        <v>2244</v>
      </c>
      <c r="AK2" s="451" t="s">
        <v>181</v>
      </c>
      <c r="AM2" s="451" t="s">
        <v>16</v>
      </c>
      <c r="AO2" s="452" t="s">
        <v>226</v>
      </c>
      <c r="AQ2" s="1217" t="s">
        <v>2008</v>
      </c>
      <c r="AR2" s="1220" t="s">
        <v>225</v>
      </c>
    </row>
    <row r="3" spans="1:44" ht="51.75" customHeight="1" thickBot="1">
      <c r="A3" s="1231"/>
      <c r="B3" s="1243" t="s">
        <v>228</v>
      </c>
      <c r="C3" s="1244"/>
      <c r="D3" s="1244"/>
      <c r="E3" s="1245"/>
      <c r="F3" s="1246" t="s">
        <v>229</v>
      </c>
      <c r="G3" s="1246"/>
      <c r="H3" s="1246"/>
      <c r="I3" s="1238"/>
      <c r="J3" s="1239"/>
      <c r="K3" s="1247" t="s">
        <v>230</v>
      </c>
      <c r="L3" s="1248"/>
      <c r="M3" s="1248"/>
      <c r="N3" s="1248"/>
      <c r="O3" s="1248"/>
      <c r="P3" s="1248"/>
      <c r="Q3" s="1248"/>
      <c r="R3" s="1248"/>
      <c r="S3" s="1248"/>
      <c r="T3" s="1248"/>
      <c r="U3" s="1248"/>
      <c r="V3" s="1248"/>
      <c r="W3" s="1248"/>
      <c r="X3" s="1248"/>
      <c r="Y3" s="1248"/>
      <c r="Z3" s="1248"/>
      <c r="AA3" s="1248"/>
      <c r="AB3" s="1249"/>
      <c r="AC3" s="1228"/>
      <c r="AD3" s="449"/>
      <c r="AE3" s="1224"/>
      <c r="AF3" s="1226"/>
      <c r="AH3" s="443" t="s">
        <v>2245</v>
      </c>
      <c r="AI3" s="446" t="s">
        <v>2245</v>
      </c>
      <c r="AK3" s="453"/>
      <c r="AM3" s="453"/>
      <c r="AO3" s="454" t="s">
        <v>18</v>
      </c>
      <c r="AQ3" s="1218"/>
      <c r="AR3" s="1221"/>
    </row>
    <row r="4" spans="1:44" ht="41.25" customHeight="1" thickBot="1">
      <c r="A4" s="1231"/>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29"/>
      <c r="AD4" s="449"/>
      <c r="AE4" s="1224"/>
      <c r="AF4" s="1226"/>
      <c r="AH4" s="443" t="s">
        <v>2280</v>
      </c>
      <c r="AI4" s="446" t="s">
        <v>2280</v>
      </c>
      <c r="AO4" s="454" t="s">
        <v>237</v>
      </c>
      <c r="AQ4" s="1219"/>
      <c r="AR4" s="1222"/>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4.25"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4.25"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4.25"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4.25"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4.25"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4.25"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4.25"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2" t="s">
        <v>2239</v>
      </c>
      <c r="C3" s="1251" t="s">
        <v>2240</v>
      </c>
      <c r="D3" s="1251" t="s">
        <v>2241</v>
      </c>
      <c r="E3" s="1251" t="s">
        <v>227</v>
      </c>
      <c r="F3" s="1253" t="s">
        <v>2067</v>
      </c>
      <c r="G3" s="1251" t="s">
        <v>2103</v>
      </c>
      <c r="H3" s="1251"/>
      <c r="I3" s="1251" t="s">
        <v>2104</v>
      </c>
      <c r="J3" s="1251"/>
      <c r="K3" s="1251" t="s">
        <v>2105</v>
      </c>
      <c r="L3" s="1251"/>
      <c r="M3" s="1250" t="s">
        <v>2037</v>
      </c>
      <c r="N3" s="1250" t="s">
        <v>2038</v>
      </c>
      <c r="O3" s="1250" t="s">
        <v>2039</v>
      </c>
      <c r="P3" s="1250" t="s">
        <v>2040</v>
      </c>
      <c r="Q3" s="1250" t="s">
        <v>2041</v>
      </c>
      <c r="R3" s="1250" t="s">
        <v>2042</v>
      </c>
      <c r="S3" s="1250" t="s">
        <v>2043</v>
      </c>
    </row>
    <row r="4" spans="2:19">
      <c r="B4" s="1252"/>
      <c r="C4" s="1251"/>
      <c r="D4" s="1251"/>
      <c r="E4" s="1251"/>
      <c r="F4" s="1254"/>
      <c r="G4" s="1251"/>
      <c r="H4" s="1251"/>
      <c r="I4" s="1251"/>
      <c r="J4" s="1251"/>
      <c r="K4" s="1251"/>
      <c r="L4" s="1251"/>
      <c r="M4" s="1250"/>
      <c r="N4" s="1250"/>
      <c r="O4" s="1250"/>
      <c r="P4" s="1250"/>
      <c r="Q4" s="1250"/>
      <c r="R4" s="1250"/>
      <c r="S4" s="1250"/>
    </row>
    <row r="5" spans="2:19">
      <c r="B5" s="1252"/>
      <c r="C5" s="1251"/>
      <c r="D5" s="1251"/>
      <c r="E5" s="1251"/>
      <c r="F5" s="1255"/>
      <c r="G5" s="1251"/>
      <c r="H5" s="1251"/>
      <c r="I5" s="1251"/>
      <c r="J5" s="1251"/>
      <c r="K5" s="1251"/>
      <c r="L5" s="1251"/>
      <c r="M5" s="1250"/>
      <c r="N5" s="1250"/>
      <c r="O5" s="1250"/>
      <c r="P5" s="1250"/>
      <c r="Q5" s="1250"/>
      <c r="R5" s="1250"/>
      <c r="S5" s="1250"/>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topLeftCell="A27"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2119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処遇加算Ⅰ特定加算Ⅰベア加算なし</v>
      </c>
      <c r="AT1" s="1180"/>
      <c r="AU1" s="1180"/>
      <c r="AV1" s="1180"/>
      <c r="AW1" s="1180"/>
      <c r="AX1" s="1180"/>
      <c r="AY1" s="1180"/>
      <c r="AZ1" s="1180"/>
      <c r="BA1" s="1180"/>
      <c r="BB1" s="1180"/>
      <c r="BC1" s="1180"/>
      <c r="BD1" s="1180"/>
      <c r="BE1" s="1181"/>
      <c r="BF1" s="1178" t="str">
        <f>IFERROR(VLOOKUP(Y5,【参考】数式用!$AH$2:$AI$34,2,FALSE),"")</f>
        <v>施設入所支援</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76"/>
      <c r="AR2" s="76"/>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0" t="s">
        <v>2345</v>
      </c>
      <c r="Q5" s="1211"/>
      <c r="R5" s="1211"/>
      <c r="S5" s="1211"/>
      <c r="T5" s="1211"/>
      <c r="U5" s="1211"/>
      <c r="V5" s="1211"/>
      <c r="W5" s="1211"/>
      <c r="X5" s="1212"/>
      <c r="Y5" s="1155" t="s">
        <v>2250</v>
      </c>
      <c r="Z5" s="1155"/>
      <c r="AA5" s="1155"/>
      <c r="AB5" s="1155"/>
      <c r="AC5" s="1155"/>
      <c r="AD5" s="1155"/>
      <c r="AE5" s="1198">
        <v>2250000</v>
      </c>
      <c r="AF5" s="1199"/>
      <c r="AG5" s="1199"/>
      <c r="AH5" s="1200"/>
      <c r="AI5" s="1198">
        <v>400000</v>
      </c>
      <c r="AJ5" s="1199"/>
      <c r="AK5" s="1199"/>
      <c r="AL5" s="1200"/>
      <c r="AM5" s="1201">
        <f>AE5-AI5</f>
        <v>1850000</v>
      </c>
      <c r="AN5" s="1202"/>
      <c r="AO5" s="1202"/>
      <c r="AP5" s="1203"/>
      <c r="AS5" s="83"/>
      <c r="AT5" s="1184"/>
      <c r="AU5" s="1184"/>
      <c r="AV5" s="1184"/>
      <c r="AW5" s="1184"/>
      <c r="AX5" s="1184"/>
      <c r="AY5" s="1184"/>
      <c r="AZ5" s="1184"/>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f>IF(OR(AH61=1,AP61=1),1,"")</f>
        <v>1</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新加算Ⅰ</v>
      </c>
      <c r="W8" s="1205"/>
      <c r="X8" s="1205"/>
      <c r="Y8" s="1205"/>
      <c r="Z8" s="1206"/>
      <c r="AA8" s="1186" t="str">
        <f>IFERROR(VLOOKUP(AS1,【参考】数式用2!E6:L23,4,FALSE),"")</f>
        <v>交付金を取得する場合、４月からベア加算の算定が必要。その場合、６月以降は自然と新加算Ⅰに移行可能。</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v>
      </c>
      <c r="AY8" s="987" t="str">
        <f>IF(OR(V8="新加算Ⅰ",V8="新加算Ⅴ(１)",V8="新加算Ⅴ(２)",V8="新加算Ⅴ(５)",V8="新加算Ⅴ(７)",V8="新加算Ⅴ(10)"),"○","")</f>
        <v>○</v>
      </c>
      <c r="AZ8" s="987" t="str">
        <f>IF(OR(V8="新加算Ⅰ",V8="新加算Ⅱ",V8="新加算Ⅴ(１)",V8="新加算Ⅴ(２)",V8="新加算Ⅴ(３)",V8="新加算Ⅴ(４)",V8="新加算Ⅴ(５)",V8="新加算Ⅴ(６)",V8="新加算Ⅴ(７)",V8="新加算Ⅴ(９)",V8="新加算Ⅴ(10)",V8="新加算Ⅴ(12)"),"○","")</f>
        <v>○</v>
      </c>
      <c r="BA8" s="84"/>
      <c r="CE8" s="1004" t="s">
        <v>2188</v>
      </c>
      <c r="CF8" s="1004"/>
      <c r="CG8" s="1004"/>
      <c r="CH8" s="1004"/>
      <c r="CI8" s="991" t="str">
        <f>IF(AND(AP62=1,AL41=""),1,"")</f>
        <v/>
      </c>
      <c r="CJ8" s="992"/>
    </row>
    <row r="9" spans="1:88" ht="26.25" customHeight="1">
      <c r="B9" s="1112" t="s">
        <v>7</v>
      </c>
      <c r="C9" s="1113"/>
      <c r="D9" s="1113"/>
      <c r="E9" s="1113"/>
      <c r="F9" s="1114"/>
      <c r="G9" s="1115" t="s">
        <v>234</v>
      </c>
      <c r="H9" s="1116"/>
      <c r="I9" s="1116"/>
      <c r="J9" s="1116"/>
      <c r="K9" s="1117"/>
      <c r="L9" s="1118" t="s">
        <v>9</v>
      </c>
      <c r="M9" s="1119"/>
      <c r="N9" s="1119"/>
      <c r="O9" s="1119"/>
      <c r="P9" s="1120"/>
      <c r="Q9" s="1102" t="s">
        <v>2052</v>
      </c>
      <c r="R9" s="1103"/>
      <c r="S9" s="1103"/>
      <c r="T9" s="1040"/>
      <c r="U9" s="1041"/>
      <c r="V9" s="1207">
        <f>IFERROR(VLOOKUP(Y5,【参考】数式用!$A$5:$AB$37,MATCH(V8,【参考】数式用!$B$4:$AB$4,0)+1,FALSE),"")</f>
        <v>0.159</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f>IF(OR(AH62=1,AP62=1),1,"")</f>
        <v>1</v>
      </c>
      <c r="CJ9" s="992"/>
    </row>
    <row r="10" spans="1:88" ht="11.25" customHeight="1">
      <c r="B10" s="1121">
        <f>IFERROR(VLOOKUP(Y5,【参考】数式用!$A$5:$J$37,MATCH(B9,【参考】数式用!$B$4:$J$4,0)+1,0),"")</f>
        <v>8.5999999999999993E-2</v>
      </c>
      <c r="C10" s="1122"/>
      <c r="D10" s="1122"/>
      <c r="E10" s="1122"/>
      <c r="F10" s="1123"/>
      <c r="G10" s="1121">
        <f>IFERROR(VLOOKUP(Y5,【参考】数式用!$A$5:$J$37,MATCH(G9,【参考】数式用!$B$4:$J$4,0)+1,0),"")</f>
        <v>2.1000000000000001E-2</v>
      </c>
      <c r="H10" s="1122"/>
      <c r="I10" s="1122"/>
      <c r="J10" s="1122"/>
      <c r="K10" s="1123"/>
      <c r="L10" s="1127">
        <f>IFERROR(VLOOKUP(Y5,【参考】数式用!$A$5:$J$37,MATCH(L9,【参考】数式用!$B$4:$J$4,0)+1,0),"")</f>
        <v>0</v>
      </c>
      <c r="M10" s="1128"/>
      <c r="N10" s="1128"/>
      <c r="O10" s="1128"/>
      <c r="P10" s="1129"/>
      <c r="Q10" s="1035">
        <f>SUM(B10,G10,L10)</f>
        <v>0.107</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1</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新加算Ⅴ(１)</v>
      </c>
      <c r="W11" s="1097"/>
      <c r="X11" s="1097"/>
      <c r="Y11" s="1097"/>
      <c r="Z11" s="1097"/>
      <c r="AA11" s="1186" t="str">
        <f>IFERROR(VLOOKUP(AS1,【参考】数式用2!E6:L23,6,FALSE),"")</f>
        <v>４月からベア加算を算定せず、６月から月額賃金改善要件Ⅱも満たさない場合、Ⅴ(1)となる。なお、R7年度以降は月額賃金改善要件Ⅱが必要。</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v>
      </c>
      <c r="AX11" s="987" t="str">
        <f>IF(OR(V11="新加算Ⅰ",V11="新加算Ⅱ",V11="新加算Ⅴ(１)",V11="新加算Ⅴ(２)",V11="新加算Ⅴ(３)",V11="新加算Ⅴ(４)",V11="新加算Ⅴ(５)",V11="新加算Ⅴ(６)",V11="新加算Ⅴ(７)",V11="新加算Ⅴ(９)",V11="新加算Ⅴ(10)",V11="新加算Ⅴ(12)"),"○","")</f>
        <v>○</v>
      </c>
      <c r="AY11" s="987" t="str">
        <f>IF(OR(V11="新加算Ⅰ",V11="新加算Ⅴ(１)",V11="新加算Ⅴ(２)",V11="新加算Ⅴ(５)",V11="新加算Ⅴ(７)",V11="新加算Ⅴ(10)"),"○","")</f>
        <v>○</v>
      </c>
      <c r="AZ11" s="987"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0.13100000000000001</v>
      </c>
      <c r="W12" s="1151"/>
      <c r="X12" s="1151"/>
      <c r="Y12" s="1151"/>
      <c r="Z12" s="1151"/>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102"/>
      <c r="V14" s="1097" t="str">
        <f>IFERROR(IF(VLOOKUP(AS1,【参考】数式用2!E6:L23,7,FALSE)="","",VLOOKUP(AS1,【参考】数式用2!E6:L23,7,FALSE)),"")</f>
        <v/>
      </c>
      <c r="W14" s="1097"/>
      <c r="X14" s="1097"/>
      <c r="Y14" s="1097"/>
      <c r="Z14" s="1097"/>
      <c r="AA14" s="1190">
        <f>IFERROR(VLOOKUP(AS1,【参考】数式用2!E6:L23,8,FALSE),"")</f>
        <v>0</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103" t="s">
        <v>2111</v>
      </c>
      <c r="F15" s="54">
        <v>4</v>
      </c>
      <c r="G15" s="103" t="s">
        <v>2112</v>
      </c>
      <c r="H15" s="1135" t="s">
        <v>2113</v>
      </c>
      <c r="I15" s="1135"/>
      <c r="J15" s="1148"/>
      <c r="K15" s="54">
        <v>7</v>
      </c>
      <c r="L15" s="103" t="s">
        <v>2111</v>
      </c>
      <c r="M15" s="54">
        <v>3</v>
      </c>
      <c r="N15" s="103" t="s">
        <v>2112</v>
      </c>
      <c r="O15" s="103" t="s">
        <v>2114</v>
      </c>
      <c r="P15" s="104">
        <f>(K15*12+M15)-(D15*12+F15)+1</f>
        <v>12</v>
      </c>
      <c r="Q15" s="1135" t="s">
        <v>2115</v>
      </c>
      <c r="R15" s="1135"/>
      <c r="S15" s="105" t="s">
        <v>69</v>
      </c>
      <c r="U15" s="102"/>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11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119" t="str">
        <f>IFERROR(IF(OR(B9="処遇加算Ⅰ",B9="処遇加算Ⅱ"),"✓",""),"")</f>
        <v>✓</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11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11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119" t="str">
        <f>IFERROR(IF(OR(B9="処遇加算Ⅰ",B9="処遇加算Ⅱ"),"✓",""),"")</f>
        <v>✓</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11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11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119" t="str">
        <f>IFERROR(IF(B9="処遇加算Ⅰ","✓",""),"")</f>
        <v>✓</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119" t="str">
        <f>IFERROR(IF(OR(G9="特定加算Ⅰ",G9="特定加算Ⅱ"),"✓",""),"")</f>
        <v>✓</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119" t="str">
        <f>IFERROR(IF(G9="特定加算なし","✓",""),"")</f>
        <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対象加算なし（自動的に要件を満たす）</v>
      </c>
      <c r="H40" s="1070"/>
      <c r="I40" s="1070"/>
      <c r="J40" s="1070"/>
      <c r="K40" s="1070"/>
      <c r="L40" s="1070"/>
      <c r="M40" s="1070"/>
      <c r="N40" s="1070"/>
      <c r="O40" s="1070"/>
      <c r="P40" s="1070"/>
      <c r="Q40" s="1070"/>
      <c r="R40" s="1070"/>
      <c r="S40" s="1070"/>
      <c r="T40" s="1071"/>
      <c r="U40" s="92"/>
      <c r="V40" s="119" t="str">
        <f>IFERROR(IF(G9="特定加算Ⅰ","✓",""),"")</f>
        <v>✓</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119" t="str">
        <f>IFERROR(IF(OR(G9="特定加算Ⅱ",G9="特定加算なし"),"✓",""),"")</f>
        <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2374</v>
      </c>
      <c r="H44" s="1070"/>
      <c r="I44" s="1070"/>
      <c r="J44" s="1070"/>
      <c r="K44" s="1070"/>
      <c r="L44" s="1070"/>
      <c r="M44" s="1070"/>
      <c r="N44" s="1070"/>
      <c r="O44" s="1070"/>
      <c r="P44" s="1070"/>
      <c r="Q44" s="1070"/>
      <c r="R44" s="1070"/>
      <c r="S44" s="1070"/>
      <c r="T44" s="1071"/>
      <c r="U44" s="118"/>
      <c r="V44" s="119" t="str">
        <f>IFERROR(IF(OR(G9="特定加算Ⅰ",G9="特定加算Ⅱ"),"✓",""),"")</f>
        <v>✓</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017" t="str">
        <f>IFERROR(IF(AND(OR(AP61=1,AP61=2),AP62=1,AP63=1),"特定加算Ⅰ",IF(AND(OR(AP61=1,AP61=2),AP62=2,AP63=1),"特定加算Ⅱ",IF(OR(AP61=3,AP62=2,AP63=2),"特定加算なし",""))),"")</f>
        <v>特定加算Ⅰ</v>
      </c>
      <c r="AX48" s="1017"/>
      <c r="AY48" s="1017"/>
      <c r="AZ48" s="1017"/>
      <c r="BA48" s="1017" t="str">
        <f>IFERROR(IF(OR(L9="ベア加算",AP57=1),"ベア加算",IF(AP57=2,"ベア加算なし","")),"")</f>
        <v>ベア加算</v>
      </c>
      <c r="BB48" s="1017"/>
      <c r="BC48" s="1017"/>
      <c r="BD48" s="1017"/>
      <c r="BE48" s="1168" t="str">
        <f>AS48&amp;AW48&amp;BA48</f>
        <v>処遇加算Ⅰ特定加算Ⅰベア加算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IFERROR(IF(G9="","",IF(AND(OR(AH61=1,AH61=2),AH62=1,AH63=1),"特定加算Ⅰ",IF(AND(OR(AH61=1,AH61=2),AH62=2,AH63=1),"特定加算Ⅱ",IF(OR(AH61=3,AH62=2,AH63=2),"特定加算なし","")))),"")</f>
        <v>特定加算Ⅰ</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新加算Ⅰ</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8.5999999999999993E-2</v>
      </c>
      <c r="H50" s="1028"/>
      <c r="I50" s="1028"/>
      <c r="J50" s="1028"/>
      <c r="K50" s="1029"/>
      <c r="L50" s="1030">
        <f>IFERROR(VLOOKUP(Y5,【参考】数式用!$A$5:$J$37,MATCH(L49,【参考】数式用!$B$4:$J$4,0)+1,0),"")</f>
        <v>2.1000000000000001E-2</v>
      </c>
      <c r="M50" s="1031"/>
      <c r="N50" s="1031"/>
      <c r="O50" s="1031"/>
      <c r="P50" s="1032"/>
      <c r="Q50" s="1033">
        <f>IFERROR(VLOOKUP(Y5,【参考】数式用!$A$5:$J$37,MATCH(Q49,【参考】数式用!$B$4:$J$4,0)+1,0),"")</f>
        <v>2.8000000000000001E-2</v>
      </c>
      <c r="R50" s="1028"/>
      <c r="S50" s="1028"/>
      <c r="T50" s="1028"/>
      <c r="U50" s="1034"/>
      <c r="V50" s="1035">
        <f>SUM(G50,L50,Q50)</f>
        <v>0.13500000000000001</v>
      </c>
      <c r="W50" s="1036"/>
      <c r="X50" s="1036"/>
      <c r="Y50" s="1036"/>
      <c r="Z50" s="1036"/>
      <c r="AA50" s="1042"/>
      <c r="AB50" s="1042"/>
      <c r="AC50" s="1037">
        <f>IFERROR(VLOOKUP(Y5,【参考】数式用!$A$5:$AB$37,MATCH(AC49,【参考】数式用!$B$4:$AB$4,0)+1,FALSE),"")</f>
        <v>0.159</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318200</v>
      </c>
      <c r="H51" s="1050"/>
      <c r="I51" s="1050"/>
      <c r="J51" s="1050"/>
      <c r="K51" s="55" t="s">
        <v>2117</v>
      </c>
      <c r="L51" s="1156">
        <f>IFERROR(ROUNDDOWN(ROUND(AM5*L50,0),0)*H53,"")</f>
        <v>77700</v>
      </c>
      <c r="M51" s="1157"/>
      <c r="N51" s="1157"/>
      <c r="O51" s="1157"/>
      <c r="P51" s="55" t="s">
        <v>2117</v>
      </c>
      <c r="Q51" s="1056">
        <f>IFERROR(ROUNDDOWN(ROUND(AM5*Q50,0),0)*H53,"")</f>
        <v>103600</v>
      </c>
      <c r="R51" s="1050"/>
      <c r="S51" s="1050"/>
      <c r="T51" s="1050"/>
      <c r="U51" s="56" t="s">
        <v>2117</v>
      </c>
      <c r="V51" s="1057">
        <f>IFERROR(SUM(G51,L51,Q51),"")</f>
        <v>499500</v>
      </c>
      <c r="W51" s="1058"/>
      <c r="X51" s="1058"/>
      <c r="Y51" s="1058"/>
      <c r="Z51" s="57" t="s">
        <v>2117</v>
      </c>
      <c r="AB51" s="58"/>
      <c r="AC51" s="1056">
        <f>IFERROR(ROUNDDOWN(ROUND(AM5*AC50,0),0)*AD53,"")</f>
        <v>2941500</v>
      </c>
      <c r="AD51" s="1050"/>
      <c r="AE51" s="1050"/>
      <c r="AF51" s="1050"/>
      <c r="AG51" s="1050"/>
      <c r="AH51" s="56" t="s">
        <v>2117</v>
      </c>
      <c r="AS51" s="1015">
        <f>IFERROR(ROUNDDOWN(ROUND(AM5*(G50-B10),0),0)*H53,"")</f>
        <v>0</v>
      </c>
      <c r="AT51" s="1015"/>
      <c r="AU51" s="1015"/>
      <c r="AV51" s="1015"/>
      <c r="AW51" s="1015">
        <f>IFERROR(ROUNDDOWN(ROUND(AM5*(L50-G10),0),0)*H53,"")</f>
        <v>0</v>
      </c>
      <c r="AX51" s="1015"/>
      <c r="AY51" s="1015"/>
      <c r="AZ51" s="1015"/>
      <c r="BA51" s="1015">
        <f>IFERROR(ROUNDDOWN(ROUND(AM5*(Q50-L10),0),0)*H53,"")</f>
        <v>103600</v>
      </c>
      <c r="BB51" s="1015"/>
      <c r="BC51" s="1015"/>
      <c r="BD51" s="1015"/>
      <c r="BE51" s="1015">
        <f>IFERROR(ROUNDDOWN(ROUND(AM5*(AC50-Q10),0),0)*AD53,"")</f>
        <v>962000</v>
      </c>
      <c r="BF51" s="1015"/>
      <c r="BG51" s="1015"/>
      <c r="BH51" s="1015"/>
      <c r="BI51" s="1015">
        <f>SUM(AS51:BH51)</f>
        <v>1065600</v>
      </c>
      <c r="BJ51" s="1015"/>
      <c r="BK51" s="1015"/>
      <c r="BL51" s="1015"/>
      <c r="BM51" s="141"/>
      <c r="BN51" s="1015">
        <f>IFERROR(ROUNDDOWN(ROUNDDOWN(ROUND(AM5*(VLOOKUP(Y5,【参考】数式用!$A$5:$AB$37,14,FALSE)),0),0)*AD53*0.5,0),"")</f>
        <v>1063750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(159,100円/月)</v>
      </c>
      <c r="H52" s="1055"/>
      <c r="I52" s="1055"/>
      <c r="J52" s="1055"/>
      <c r="K52" s="1055"/>
      <c r="L52" s="1052" t="str">
        <f>IFERROR("("&amp;TEXT(L51/H53,"#,##0円")&amp;"/月)","")</f>
        <v>(38,850円/月)</v>
      </c>
      <c r="M52" s="1053"/>
      <c r="N52" s="1053"/>
      <c r="O52" s="1053"/>
      <c r="P52" s="1054"/>
      <c r="Q52" s="1055" t="str">
        <f>IFERROR("("&amp;TEXT(Q51/H53,"#,##0円")&amp;"/月)","")</f>
        <v>(51,800円/月)</v>
      </c>
      <c r="R52" s="1055"/>
      <c r="S52" s="1055"/>
      <c r="T52" s="1055"/>
      <c r="U52" s="1055"/>
      <c r="V52" s="1055" t="str">
        <f>IFERROR("("&amp;TEXT(V51/H53,"#,##0円")&amp;"/月)","")</f>
        <v>(249,750円/月)</v>
      </c>
      <c r="W52" s="1055"/>
      <c r="X52" s="1055"/>
      <c r="Y52" s="1055"/>
      <c r="Z52" s="1055"/>
      <c r="AB52" s="58"/>
      <c r="AC52" s="1052" t="str">
        <f>IFERROR("("&amp;TEXT(AC51/AD53,"#,##0円")&amp;"/月)","")</f>
        <v>(294,150円/月)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216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2055</v>
      </c>
      <c r="V57" s="1016"/>
      <c r="W57" s="1016"/>
      <c r="X57" s="1016"/>
      <c r="Y57" s="1016"/>
      <c r="Z57" s="152">
        <f>IF(AND(B9&lt;&gt;"処遇加算なし",F15=4),IF(V21="✓",1,IF(V22="✓",2,"")),"")</f>
        <v>2</v>
      </c>
      <c r="AA57" s="145"/>
      <c r="AB57" s="149"/>
      <c r="AC57" s="1016" t="s">
        <v>2055</v>
      </c>
      <c r="AD57" s="1016"/>
      <c r="AE57" s="1016"/>
      <c r="AF57" s="1016"/>
      <c r="AG57" s="1016"/>
      <c r="AH57" s="425">
        <f>IF(AND(F15&lt;&gt;4,F15&lt;&gt;5),0,IF(AT8="○",1,0))</f>
        <v>1</v>
      </c>
      <c r="AI57" s="153"/>
      <c r="AJ57" s="149"/>
      <c r="AK57" s="1016" t="s">
        <v>2055</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2056</v>
      </c>
      <c r="V58" s="1150"/>
      <c r="W58" s="1150"/>
      <c r="X58" s="1150"/>
      <c r="Y58" s="1150"/>
      <c r="Z58" s="152">
        <f>IF(AND(B9&lt;&gt;"処遇加算なし",F15=4),IF(V24="✓",1,IF(V25="✓",2,IF(V26="✓",3,""))),"")</f>
        <v>1</v>
      </c>
      <c r="AA58" s="145"/>
      <c r="AB58" s="149"/>
      <c r="AC58" s="1150" t="s">
        <v>2056</v>
      </c>
      <c r="AD58" s="1150"/>
      <c r="AE58" s="1150"/>
      <c r="AF58" s="1150"/>
      <c r="AG58" s="1150"/>
      <c r="AH58" s="425">
        <f>IF(AND(F15&lt;&gt;4,F15&lt;&gt;5),0,IF(AU8="○",1,3))</f>
        <v>1</v>
      </c>
      <c r="AI58" s="153"/>
      <c r="AJ58" s="149"/>
      <c r="AK58" s="1150" t="s">
        <v>2056</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2057</v>
      </c>
      <c r="V59" s="1150"/>
      <c r="W59" s="1150"/>
      <c r="X59" s="1150"/>
      <c r="Y59" s="1150"/>
      <c r="Z59" s="152">
        <f>IF(AND(B9&lt;&gt;"処遇加算なし",F15=4),IF(V28="✓",1,IF(V29="✓",2,IF(V30="✓",3,""))),"")</f>
        <v>1</v>
      </c>
      <c r="AA59" s="145"/>
      <c r="AB59" s="149"/>
      <c r="AC59" s="1150" t="s">
        <v>2057</v>
      </c>
      <c r="AD59" s="1150"/>
      <c r="AE59" s="1150"/>
      <c r="AF59" s="1150"/>
      <c r="AG59" s="1150"/>
      <c r="AH59" s="425">
        <f>IF(AND(F15&lt;&gt;4,F15&lt;&gt;5),0,IF(AV8="○",1,3))</f>
        <v>1</v>
      </c>
      <c r="AI59" s="153"/>
      <c r="AJ59" s="149"/>
      <c r="AK59" s="1150" t="s">
        <v>2057</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2058</v>
      </c>
      <c r="V60" s="1150"/>
      <c r="W60" s="1150"/>
      <c r="X60" s="1150"/>
      <c r="Y60" s="1150"/>
      <c r="Z60" s="152">
        <f>IF(AND(B9&lt;&gt;"処遇加算なし",F15=4),IF(V32="✓",1,IF(V33="✓",2,"")),"")</f>
        <v>1</v>
      </c>
      <c r="AA60" s="145"/>
      <c r="AB60" s="149"/>
      <c r="AC60" s="1150" t="s">
        <v>2058</v>
      </c>
      <c r="AD60" s="1150"/>
      <c r="AE60" s="1150"/>
      <c r="AF60" s="1150"/>
      <c r="AG60" s="1150"/>
      <c r="AH60" s="425">
        <f>IF(AND(F15&lt;&gt;4,F15&lt;&gt;5),0,IF(AW8="○",1,3))</f>
        <v>1</v>
      </c>
      <c r="AI60" s="153"/>
      <c r="AJ60" s="149"/>
      <c r="AK60" s="1150" t="s">
        <v>2058</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2059</v>
      </c>
      <c r="V61" s="1150"/>
      <c r="W61" s="1150"/>
      <c r="X61" s="1150"/>
      <c r="Y61" s="1150"/>
      <c r="Z61" s="152">
        <f>IF(AND(B9&lt;&gt;"処遇加算なし",F15=4),IF(V36="✓",1,IF(V37="✓",2,"")),"")</f>
        <v>1</v>
      </c>
      <c r="AA61" s="145"/>
      <c r="AB61" s="149"/>
      <c r="AC61" s="1150" t="s">
        <v>2059</v>
      </c>
      <c r="AD61" s="1150"/>
      <c r="AE61" s="1150"/>
      <c r="AF61" s="1150"/>
      <c r="AG61" s="1150"/>
      <c r="AH61" s="425">
        <f>IF(AND(F15&lt;&gt;4,F15&lt;&gt;5),0,IF(AX8="○",1,2))</f>
        <v>1</v>
      </c>
      <c r="AI61" s="153"/>
      <c r="AJ61" s="149"/>
      <c r="AK61" s="1150" t="s">
        <v>2059</v>
      </c>
      <c r="AL61" s="1150"/>
      <c r="AM61" s="1150"/>
      <c r="AN61" s="1150"/>
      <c r="AO61" s="1150"/>
      <c r="AP61" s="425">
        <f>IF(AX8="○",1,2)</f>
        <v>1</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2060</v>
      </c>
      <c r="V62" s="1150"/>
      <c r="W62" s="1150"/>
      <c r="X62" s="1150"/>
      <c r="Y62" s="1150"/>
      <c r="Z62" s="152">
        <f>IF(AND(B9&lt;&gt;"処遇加算なし",F15=4),IF(V40="✓",1,IF(V41="✓",2,"")),"")</f>
        <v>1</v>
      </c>
      <c r="AA62" s="145"/>
      <c r="AB62" s="149"/>
      <c r="AC62" s="1150" t="s">
        <v>2060</v>
      </c>
      <c r="AD62" s="1150"/>
      <c r="AE62" s="1150"/>
      <c r="AF62" s="1150"/>
      <c r="AG62" s="1150"/>
      <c r="AH62" s="425">
        <f>IF(AND(F15&lt;&gt;4,F15&lt;&gt;5),0,IF(AY8="○",1,2))</f>
        <v>1</v>
      </c>
      <c r="AI62" s="153"/>
      <c r="AJ62" s="149"/>
      <c r="AK62" s="1150" t="s">
        <v>2060</v>
      </c>
      <c r="AL62" s="1150"/>
      <c r="AM62" s="1150"/>
      <c r="AN62" s="1150"/>
      <c r="AO62" s="1150"/>
      <c r="AP62" s="425">
        <f>IF(AY8="○",1,2)</f>
        <v>1</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2061</v>
      </c>
      <c r="V63" s="1016"/>
      <c r="W63" s="1016"/>
      <c r="X63" s="1016"/>
      <c r="Y63" s="1016"/>
      <c r="Z63" s="152">
        <f>IF(AND(B9&lt;&gt;"処遇加算なし",F15=4),IF(V44="✓",1,IF(V45="✓",2,"")),"")</f>
        <v>1</v>
      </c>
      <c r="AA63" s="145"/>
      <c r="AB63" s="149"/>
      <c r="AC63" s="1016" t="s">
        <v>2061</v>
      </c>
      <c r="AD63" s="1016"/>
      <c r="AE63" s="1016"/>
      <c r="AF63" s="1016"/>
      <c r="AG63" s="1016"/>
      <c r="AH63" s="425">
        <f>IF(AND(F15&lt;&gt;4,F15&lt;&gt;5),0,IF(AZ8="○",1,2))</f>
        <v>1</v>
      </c>
      <c r="AI63" s="153"/>
      <c r="AJ63" s="149"/>
      <c r="AK63" s="1016" t="s">
        <v>2061</v>
      </c>
      <c r="AL63" s="1016"/>
      <c r="AM63" s="1016"/>
      <c r="AN63" s="1016"/>
      <c r="AO63" s="1016"/>
      <c r="AP63" s="425">
        <f>IF(AZ8="○",1,2)</f>
        <v>1</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56:AP56"/>
    <mergeCell ref="AK63:AO63"/>
    <mergeCell ref="AS63:AV63"/>
    <mergeCell ref="AS56:AV56"/>
    <mergeCell ref="AC57:AG57"/>
    <mergeCell ref="AC62:AG62"/>
    <mergeCell ref="AC56:AH56"/>
    <mergeCell ref="AL34:AP34"/>
    <mergeCell ref="AA32:AB34"/>
    <mergeCell ref="AD32:AH32"/>
    <mergeCell ref="AI32:AJ34"/>
    <mergeCell ref="AL32:AP32"/>
    <mergeCell ref="AD38:AH38"/>
    <mergeCell ref="AL38:AP38"/>
    <mergeCell ref="AD36:AH36"/>
    <mergeCell ref="AI36:AJ38"/>
    <mergeCell ref="AL36:AP36"/>
    <mergeCell ref="AC37:AF37"/>
    <mergeCell ref="AG37:AH37"/>
    <mergeCell ref="AK37:AN37"/>
    <mergeCell ref="AO37:AP37"/>
    <mergeCell ref="AL42:AP42"/>
    <mergeCell ref="AK60:AO60"/>
    <mergeCell ref="AK61:AO61"/>
    <mergeCell ref="AK62:AO62"/>
    <mergeCell ref="AI21:AJ22"/>
    <mergeCell ref="AL21:AP21"/>
    <mergeCell ref="AL24:AP24"/>
    <mergeCell ref="U56:Z56"/>
    <mergeCell ref="U57:Y57"/>
    <mergeCell ref="U58:Y58"/>
    <mergeCell ref="U59:Y59"/>
    <mergeCell ref="W37:Z37"/>
    <mergeCell ref="AA28:AB30"/>
    <mergeCell ref="AD28:AH28"/>
    <mergeCell ref="W33:Z33"/>
    <mergeCell ref="AD33:AH33"/>
    <mergeCell ref="AD34:AH34"/>
    <mergeCell ref="AD29:AH29"/>
    <mergeCell ref="AL29:AP29"/>
    <mergeCell ref="AD30:AH30"/>
    <mergeCell ref="AL30:AP30"/>
    <mergeCell ref="W22:Z22"/>
    <mergeCell ref="W36:Z36"/>
    <mergeCell ref="AA36:AB38"/>
    <mergeCell ref="B15:C15"/>
    <mergeCell ref="Q15:R15"/>
    <mergeCell ref="V15:Z16"/>
    <mergeCell ref="B13:S14"/>
    <mergeCell ref="H15:J15"/>
    <mergeCell ref="N1:AE2"/>
    <mergeCell ref="AK57:AO57"/>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W24:Z2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B49:F49"/>
    <mergeCell ref="AC20:AH20"/>
    <mergeCell ref="AI44:AJ45"/>
    <mergeCell ref="AL44:AP44"/>
    <mergeCell ref="AL40:AP40"/>
    <mergeCell ref="W41:Z41"/>
    <mergeCell ref="AD41:AH41"/>
    <mergeCell ref="AL41:AP41"/>
    <mergeCell ref="W40:Z40"/>
    <mergeCell ref="AA40:AB41"/>
    <mergeCell ref="AD40:AH40"/>
    <mergeCell ref="AI40:AJ41"/>
    <mergeCell ref="V20:Z20"/>
    <mergeCell ref="W21:Z21"/>
    <mergeCell ref="AA21:AB22"/>
    <mergeCell ref="AD21:AH21"/>
    <mergeCell ref="G21:T22"/>
    <mergeCell ref="B21:F22"/>
    <mergeCell ref="Q49:U49"/>
    <mergeCell ref="V49:Z49"/>
    <mergeCell ref="W25:Z25"/>
    <mergeCell ref="AD25:AH25"/>
    <mergeCell ref="B18:S2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2325</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v>
      </c>
      <c r="AT1" s="1180"/>
      <c r="AU1" s="1180"/>
      <c r="AV1" s="1180"/>
      <c r="AW1" s="1180"/>
      <c r="AX1" s="1180"/>
      <c r="AY1" s="1180"/>
      <c r="AZ1" s="1180"/>
      <c r="BA1" s="1180"/>
      <c r="BB1" s="1180"/>
      <c r="BC1" s="1180"/>
      <c r="BD1" s="1180"/>
      <c r="BE1" s="1181"/>
      <c r="BF1" s="1178" t="str">
        <f>IFERROR(VLOOKUP(Y5,【参考】数式用!$AH$2:$AI$34,2,FALSE),"")</f>
        <v>生活介護</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f>IF(AND(L9="ベア加算",Q49="ベア加算"),1,"")</f>
        <v>1</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f>IF(OR(OR(G49="処遇加算Ⅰ",G49="処遇加算Ⅱ"),OR(AS48="処遇加算Ⅰ",AS48="処遇加算Ⅱ")),1,"")</f>
        <v>1</v>
      </c>
      <c r="CJ4" s="992"/>
    </row>
    <row r="5" spans="1:88" ht="33" customHeight="1">
      <c r="B5" s="1098">
        <v>1334567890</v>
      </c>
      <c r="C5" s="1098"/>
      <c r="D5" s="1098"/>
      <c r="E5" s="1098"/>
      <c r="F5" s="1098"/>
      <c r="G5" s="1099" t="s">
        <v>2344</v>
      </c>
      <c r="H5" s="1099"/>
      <c r="I5" s="1099"/>
      <c r="J5" s="1100" t="s">
        <v>4</v>
      </c>
      <c r="K5" s="1100"/>
      <c r="L5" s="1100"/>
      <c r="M5" s="1101" t="s">
        <v>5</v>
      </c>
      <c r="N5" s="1101"/>
      <c r="O5" s="1101"/>
      <c r="P5" s="1210" t="s">
        <v>2352</v>
      </c>
      <c r="Q5" s="1211"/>
      <c r="R5" s="1211"/>
      <c r="S5" s="1211"/>
      <c r="T5" s="1211"/>
      <c r="U5" s="1211"/>
      <c r="V5" s="1211"/>
      <c r="W5" s="1211"/>
      <c r="X5" s="1212"/>
      <c r="Y5" s="1155" t="s">
        <v>2249</v>
      </c>
      <c r="Z5" s="1155"/>
      <c r="AA5" s="1155"/>
      <c r="AB5" s="1155"/>
      <c r="AC5" s="1155"/>
      <c r="AD5" s="1155"/>
      <c r="AE5" s="1198">
        <v>3850000</v>
      </c>
      <c r="AF5" s="1199"/>
      <c r="AG5" s="1199"/>
      <c r="AH5" s="1200"/>
      <c r="AI5" s="1198">
        <v>800000</v>
      </c>
      <c r="AJ5" s="1199"/>
      <c r="AK5" s="1199"/>
      <c r="AL5" s="1200"/>
      <c r="AM5" s="1201">
        <f>AE5-AI5</f>
        <v>3050000</v>
      </c>
      <c r="AN5" s="1202"/>
      <c r="AO5" s="1202"/>
      <c r="AP5" s="1203"/>
      <c r="AS5" s="83"/>
      <c r="AT5" s="1184"/>
      <c r="AU5" s="1184"/>
      <c r="AV5" s="1184"/>
      <c r="AW5" s="1184"/>
      <c r="AX5" s="1184"/>
      <c r="AY5" s="1184"/>
      <c r="AZ5" s="1184"/>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新加算Ⅲ</v>
      </c>
      <c r="W8" s="1205"/>
      <c r="X8" s="1205"/>
      <c r="Y8" s="1205"/>
      <c r="Z8" s="1206"/>
      <c r="AA8" s="1186"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13</v>
      </c>
      <c r="M9" s="1119"/>
      <c r="N9" s="1119"/>
      <c r="O9" s="1119"/>
      <c r="P9" s="1120"/>
      <c r="Q9" s="1102" t="s">
        <v>2052</v>
      </c>
      <c r="R9" s="1103"/>
      <c r="S9" s="1103"/>
      <c r="T9" s="1040"/>
      <c r="U9" s="1041"/>
      <c r="V9" s="1207">
        <f>IFERROR(VLOOKUP(Y5,【参考】数式用!$A$5:$AB$37,MATCH(V8,【参考】数式用!$B$4:$AB$4,0)+1,FALSE),"")</f>
        <v>6.699999999999999E-2</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1.7999999999999999E-2</v>
      </c>
      <c r="C10" s="1122"/>
      <c r="D10" s="1122"/>
      <c r="E10" s="1122"/>
      <c r="F10" s="1123"/>
      <c r="G10" s="1121">
        <f>IFERROR(VLOOKUP(Y5,【参考】数式用!$A$5:$J$37,MATCH(G9,【参考】数式用!$B$4:$J$4,0)+1,0),"")</f>
        <v>0</v>
      </c>
      <c r="H10" s="1122"/>
      <c r="I10" s="1122"/>
      <c r="J10" s="1122"/>
      <c r="K10" s="1123"/>
      <c r="L10" s="1127">
        <f>IFERROR(VLOOKUP(Y5,【参考】数式用!$A$5:$J$37,MATCH(L9,【参考】数式用!$B$4:$J$4,0)+1,0),"")</f>
        <v>1.0999999999999999E-2</v>
      </c>
      <c r="M10" s="1128"/>
      <c r="N10" s="1128"/>
      <c r="O10" s="1128"/>
      <c r="P10" s="1129"/>
      <c r="Q10" s="1035">
        <f>SUM(B10,G10,L10)</f>
        <v>2.8999999999999998E-2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新加算Ⅳ</v>
      </c>
      <c r="W11" s="1097"/>
      <c r="X11" s="1097"/>
      <c r="Y11" s="1097"/>
      <c r="Z11" s="1097"/>
      <c r="AA11" s="1186" t="str">
        <f>IFERROR(VLOOKUP(AS1,【参考】数式用2!E6:L23,6,FALSE),"")</f>
        <v>キャリアパス要件Ⅰ・Ⅱを「R6年度中の対応の誓約」で満たし、４月から旧処遇加算Ⅱを算定可。その場合、６月以降は自然と新加算Ⅳに移行可能。</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151">
        <f>IFERROR(VLOOKUP(Y5,【参考】数式用!$A$5:$AB$37,MATCH(V11,【参考】数式用!$B$4:$AB$4,0)+1,FALSE),"")</f>
        <v>5.4999999999999993E-2</v>
      </c>
      <c r="W12" s="1151"/>
      <c r="X12" s="1151"/>
      <c r="Y12" s="1151"/>
      <c r="Z12" s="1151"/>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新加算Ⅴ(13)</v>
      </c>
      <c r="W14" s="1097"/>
      <c r="X14" s="1097"/>
      <c r="Y14" s="1097"/>
      <c r="Z14" s="1097"/>
      <c r="AA14" s="1190"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f>IFERROR(VLOOKUP(Y5,【参考】数式用!$A$5:$AB$37,MATCH(V14,【参考】数式用!$B$4:$AB$4,0)+1,FALSE),"")</f>
        <v>4.0999999999999995E-2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v>
      </c>
      <c r="W41" s="1021" t="s">
        <v>15</v>
      </c>
      <c r="X41" s="1022"/>
      <c r="Y41" s="1022"/>
      <c r="Z41" s="1023"/>
      <c r="AA41" s="1040"/>
      <c r="AB41" s="1041"/>
      <c r="AC41" s="134" t="s">
        <v>83</v>
      </c>
      <c r="AD41" s="1065" t="s">
        <v>2283</v>
      </c>
      <c r="AE41" s="1066"/>
      <c r="AF41" s="1066"/>
      <c r="AG41" s="1066"/>
      <c r="AH41" s="1067"/>
      <c r="AI41" s="1040"/>
      <c r="AJ41" s="1041"/>
      <c r="AK41" s="134" t="s">
        <v>83</v>
      </c>
      <c r="AL41" s="1065" t="s">
        <v>2283</v>
      </c>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ベア加算</v>
      </c>
      <c r="BB48" s="1017"/>
      <c r="BC48" s="1017"/>
      <c r="BD48" s="1017"/>
      <c r="BE48" s="1168" t="str">
        <f>AS48&amp;AW48&amp;BA48</f>
        <v>処遇加算Ⅰ特定加算なしベア加算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IFERROR(IF(G9="","",IF(AND(OR(AH61=1,AH61=2),AH62=1,AH63=1),"特定加算Ⅰ",IF(AND(OR(AH61=1,AH61=2),AH62=2,AH63=1),"特定加算Ⅱ",IF(OR(AH61=3,AH62=2,AH63=2),"特定加算なし","")))),"")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新加算Ⅲ</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4.3999999999999997E-2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1.0999999999999999E-2</v>
      </c>
      <c r="R50" s="1028"/>
      <c r="S50" s="1028"/>
      <c r="T50" s="1028"/>
      <c r="U50" s="1034"/>
      <c r="V50" s="1035">
        <f>SUM(G50,L50,Q50)</f>
        <v>5.4999999999999993E-2</v>
      </c>
      <c r="W50" s="1036"/>
      <c r="X50" s="1036"/>
      <c r="Y50" s="1036"/>
      <c r="Z50" s="1036"/>
      <c r="AA50" s="1042"/>
      <c r="AB50" s="1042"/>
      <c r="AC50" s="1037">
        <f>IFERROR(VLOOKUP(Y5,【参考】数式用!$A$5:$AB$37,MATCH(AC49,【参考】数式用!$B$4:$AB$4,0)+1,FALSE),"")</f>
        <v>6.699999999999999E-2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268400</v>
      </c>
      <c r="H51" s="1050"/>
      <c r="I51" s="1050"/>
      <c r="J51" s="1050"/>
      <c r="K51" s="55" t="s">
        <v>2117</v>
      </c>
      <c r="L51" s="1156">
        <f>IFERROR(ROUNDDOWN(ROUND(AM5*L50,0),0)*H53,"")</f>
        <v>0</v>
      </c>
      <c r="M51" s="1157"/>
      <c r="N51" s="1157"/>
      <c r="O51" s="1157"/>
      <c r="P51" s="55" t="s">
        <v>2117</v>
      </c>
      <c r="Q51" s="1056">
        <f>IFERROR(ROUNDDOWN(ROUND(AM5*Q50,0),0)*H53,"")</f>
        <v>67100</v>
      </c>
      <c r="R51" s="1050"/>
      <c r="S51" s="1050"/>
      <c r="T51" s="1050"/>
      <c r="U51" s="56" t="s">
        <v>2117</v>
      </c>
      <c r="V51" s="1057">
        <f>IFERROR(SUM(G51,L51,Q51),"")</f>
        <v>335500</v>
      </c>
      <c r="W51" s="1058"/>
      <c r="X51" s="1058"/>
      <c r="Y51" s="1058"/>
      <c r="Z51" s="57" t="s">
        <v>2117</v>
      </c>
      <c r="AB51" s="58"/>
      <c r="AC51" s="1056">
        <f>IFERROR(ROUNDDOWN(ROUND(AM5*AC50,0),0)*AD53,"")</f>
        <v>2043500</v>
      </c>
      <c r="AD51" s="1050"/>
      <c r="AE51" s="1050"/>
      <c r="AF51" s="1050"/>
      <c r="AG51" s="1050"/>
      <c r="AH51" s="56" t="s">
        <v>2117</v>
      </c>
      <c r="AS51" s="1015">
        <f>IFERROR(ROUNDDOWN(ROUND(AM5*(G50-B10),0),0)*H53,"")</f>
        <v>158600</v>
      </c>
      <c r="AT51" s="1015"/>
      <c r="AU51" s="1015"/>
      <c r="AV51" s="1015"/>
      <c r="AW51" s="1015">
        <f>IFERROR(ROUNDDOWN(ROUND(AM5*(L50-G10),0),0)*H53,"")</f>
        <v>0</v>
      </c>
      <c r="AX51" s="1015"/>
      <c r="AY51" s="1015"/>
      <c r="AZ51" s="1015"/>
      <c r="BA51" s="1015">
        <f>IFERROR(ROUNDDOWN(ROUND(AM5*(Q50-L10),0),0)*H53,"")</f>
        <v>0</v>
      </c>
      <c r="BB51" s="1015"/>
      <c r="BC51" s="1015"/>
      <c r="BD51" s="1015"/>
      <c r="BE51" s="1015">
        <f>IFERROR(ROUNDDOWN(ROUND(AM5*(AC50-Q10),0),0)*AD53,"")</f>
        <v>1159000</v>
      </c>
      <c r="BF51" s="1015"/>
      <c r="BG51" s="1015"/>
      <c r="BH51" s="1015"/>
      <c r="BI51" s="1015">
        <f>SUM(AS51:BH51)</f>
        <v>1317600</v>
      </c>
      <c r="BJ51" s="1015"/>
      <c r="BK51" s="1015"/>
      <c r="BL51" s="1015"/>
      <c r="BM51" s="141"/>
      <c r="BN51" s="1015">
        <f>IFERROR(ROUNDDOWN(ROUNDDOWN(ROUND(AM5*(VLOOKUP(Y5,【参考】数式用!$A$5:$AB$37,14,FALSE)),0),0)*AD53*0.5,0),"")</f>
        <v>838750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(134,200円/月)</v>
      </c>
      <c r="H52" s="1055"/>
      <c r="I52" s="1055"/>
      <c r="J52" s="1055"/>
      <c r="K52" s="1055"/>
      <c r="L52" s="1052" t="str">
        <f>IFERROR("("&amp;TEXT(L51/H53,"#,##0円")&amp;"/月)","")</f>
        <v>(0円/月)</v>
      </c>
      <c r="M52" s="1053"/>
      <c r="N52" s="1053"/>
      <c r="O52" s="1053"/>
      <c r="P52" s="1054"/>
      <c r="Q52" s="1055" t="str">
        <f>IFERROR("("&amp;TEXT(Q51/H53,"#,##0円")&amp;"/月)","")</f>
        <v>(33,550円/月)</v>
      </c>
      <c r="R52" s="1055"/>
      <c r="S52" s="1055"/>
      <c r="T52" s="1055"/>
      <c r="U52" s="1055"/>
      <c r="V52" s="1055" t="str">
        <f>IFERROR("("&amp;TEXT(V51/H53,"#,##0円")&amp;"/月)","")</f>
        <v>(167,750円/月)</v>
      </c>
      <c r="W52" s="1055"/>
      <c r="X52" s="1055"/>
      <c r="Y52" s="1055"/>
      <c r="Z52" s="1055"/>
      <c r="AB52" s="58"/>
      <c r="AC52" s="1052" t="str">
        <f>IFERROR("("&amp;TEXT(AC51/AD53,"#,##0円")&amp;"/月)","")</f>
        <v>(204,350円/月)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36">
        <f>IF(AND(B9&lt;&gt;"処遇加算なし",F15=4),IF(V21="✓",1,IF(V22="✓",2,"")),"")</f>
        <v>1</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3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3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36">
        <f>IF(AND(B9&lt;&gt;"処遇加算なし",F15=4),IF(V32="✓",1,IF(V33="✓",2,"")),"")</f>
        <v>2</v>
      </c>
      <c r="AA60" s="145"/>
      <c r="AB60" s="149"/>
      <c r="AC60" s="1150" t="s">
        <v>2380</v>
      </c>
      <c r="AD60" s="1150"/>
      <c r="AE60" s="1150"/>
      <c r="AF60" s="1150"/>
      <c r="AG60" s="1150"/>
      <c r="AH60" s="425">
        <f>IF(AND(F15&lt;&gt;4,F15&lt;&gt;5),0,IF(AW8="○",1,3))</f>
        <v>1</v>
      </c>
      <c r="AI60" s="153"/>
      <c r="AJ60" s="149"/>
      <c r="AK60" s="1150" t="s">
        <v>2380</v>
      </c>
      <c r="AL60" s="1150"/>
      <c r="AM60" s="1150"/>
      <c r="AN60" s="1150"/>
      <c r="AO60" s="1150"/>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3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3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3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zoomScaleNormal="53" zoomScaleSheetLayoutView="100" workbookViewId="0">
      <selection activeCell="BA48" sqref="BA48:BD48"/>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2326</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東京都</v>
      </c>
      <c r="AJ1" s="1012"/>
      <c r="AK1" s="1012"/>
      <c r="AL1" s="1012"/>
      <c r="AM1" s="1012"/>
      <c r="AN1" s="1012"/>
      <c r="AO1" s="1012"/>
      <c r="AP1" s="1012"/>
      <c r="AS1" s="1179" t="str">
        <f>B9&amp;G9&amp;L9</f>
        <v>処遇加算Ⅲ特定加算なしベア加算なし</v>
      </c>
      <c r="AT1" s="1180"/>
      <c r="AU1" s="1180"/>
      <c r="AV1" s="1180"/>
      <c r="AW1" s="1180"/>
      <c r="AX1" s="1180"/>
      <c r="AY1" s="1180"/>
      <c r="AZ1" s="1180"/>
      <c r="BA1" s="1180"/>
      <c r="BB1" s="1180"/>
      <c r="BC1" s="1180"/>
      <c r="BD1" s="1180"/>
      <c r="BE1" s="1181"/>
      <c r="BF1" s="1178" t="str">
        <f>IFERROR(VLOOKUP(Y5,【参考】数式用!$AH$2:$AI$34,2,FALSE),"")</f>
        <v>就労継続支援Ａ型</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f>IF(OR(OR(G49="処遇加算Ⅰ",G49="処遇加算Ⅱ"),OR(AS48="処遇加算Ⅰ",AS48="処遇加算Ⅱ")),1,"")</f>
        <v>1</v>
      </c>
      <c r="CJ4" s="992"/>
    </row>
    <row r="5" spans="1:88" ht="33" customHeight="1">
      <c r="B5" s="1098">
        <v>1334567892</v>
      </c>
      <c r="C5" s="1098"/>
      <c r="D5" s="1098"/>
      <c r="E5" s="1098"/>
      <c r="F5" s="1098"/>
      <c r="G5" s="1099" t="s">
        <v>2355</v>
      </c>
      <c r="H5" s="1099"/>
      <c r="I5" s="1099"/>
      <c r="J5" s="1100" t="s">
        <v>4</v>
      </c>
      <c r="K5" s="1100"/>
      <c r="L5" s="1100"/>
      <c r="M5" s="1101" t="s">
        <v>1182</v>
      </c>
      <c r="N5" s="1101"/>
      <c r="O5" s="1101"/>
      <c r="P5" s="1210" t="s">
        <v>2356</v>
      </c>
      <c r="Q5" s="1211"/>
      <c r="R5" s="1211"/>
      <c r="S5" s="1211"/>
      <c r="T5" s="1211"/>
      <c r="U5" s="1211"/>
      <c r="V5" s="1211"/>
      <c r="W5" s="1211"/>
      <c r="X5" s="1212"/>
      <c r="Y5" s="1155" t="s">
        <v>2257</v>
      </c>
      <c r="Z5" s="1155"/>
      <c r="AA5" s="1155"/>
      <c r="AB5" s="1155"/>
      <c r="AC5" s="1155"/>
      <c r="AD5" s="1155"/>
      <c r="AE5" s="1198">
        <v>4250000</v>
      </c>
      <c r="AF5" s="1199"/>
      <c r="AG5" s="1199"/>
      <c r="AH5" s="1200"/>
      <c r="AI5" s="1198">
        <v>800000</v>
      </c>
      <c r="AJ5" s="1199"/>
      <c r="AK5" s="1199"/>
      <c r="AL5" s="1200"/>
      <c r="AM5" s="1201">
        <f>AE5-AI5</f>
        <v>3450000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新加算Ⅳ</v>
      </c>
      <c r="W8" s="1205"/>
      <c r="X8" s="1205"/>
      <c r="Y8" s="1205"/>
      <c r="Z8" s="1206"/>
      <c r="AA8" s="1186"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t="s">
        <v>232</v>
      </c>
      <c r="C9" s="1113"/>
      <c r="D9" s="1113"/>
      <c r="E9" s="1113"/>
      <c r="F9" s="1114"/>
      <c r="G9" s="1115" t="s">
        <v>11</v>
      </c>
      <c r="H9" s="1116"/>
      <c r="I9" s="1116"/>
      <c r="J9" s="1116"/>
      <c r="K9" s="1117"/>
      <c r="L9" s="1118" t="s">
        <v>9</v>
      </c>
      <c r="M9" s="1119"/>
      <c r="N9" s="1119"/>
      <c r="O9" s="1119"/>
      <c r="P9" s="1120"/>
      <c r="Q9" s="1102" t="s">
        <v>2052</v>
      </c>
      <c r="R9" s="1103"/>
      <c r="S9" s="1103"/>
      <c r="T9" s="1040"/>
      <c r="U9" s="1041"/>
      <c r="V9" s="1207">
        <f>IFERROR(VLOOKUP(Y5,【参考】数式用!$A$5:$AB$37,MATCH(V8,【参考】数式用!$B$4:$AB$4,0)+1,FALSE),"")</f>
        <v>6.3E-2</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f>IFERROR(VLOOKUP(Y5,【参考】数式用!$A$5:$J$37,MATCH(B9,【参考】数式用!$B$4:$J$4,0)+1,0),"")</f>
        <v>2.3E-2</v>
      </c>
      <c r="C10" s="1122"/>
      <c r="D10" s="1122"/>
      <c r="E10" s="1122"/>
      <c r="F10" s="1123"/>
      <c r="G10" s="1121">
        <f>IFERROR(VLOOKUP(Y5,【参考】数式用!$A$5:$J$37,MATCH(G9,【参考】数式用!$B$4:$J$4,0)+1,0),"")</f>
        <v>0</v>
      </c>
      <c r="H10" s="1122"/>
      <c r="I10" s="1122"/>
      <c r="J10" s="1122"/>
      <c r="K10" s="1123"/>
      <c r="L10" s="1127">
        <f>IFERROR(VLOOKUP(Y5,【参考】数式用!$A$5:$J$37,MATCH(L9,【参考】数式用!$B$4:$J$4,0)+1,0),"")</f>
        <v>0</v>
      </c>
      <c r="M10" s="1128"/>
      <c r="N10" s="1128"/>
      <c r="O10" s="1128"/>
      <c r="P10" s="1129"/>
      <c r="Q10" s="1035">
        <f>SUM(B10,G10,L10)</f>
        <v>2.3E-2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新加算Ⅴ(11)</v>
      </c>
      <c r="W11" s="1097"/>
      <c r="X11" s="1097"/>
      <c r="Y11" s="1097"/>
      <c r="Z11" s="1097"/>
      <c r="AA11" s="1186"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6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67"/>
      <c r="D12" s="1167"/>
      <c r="E12" s="1167"/>
      <c r="F12" s="1167"/>
      <c r="G12" s="1167"/>
      <c r="H12" s="1167"/>
      <c r="I12" s="1167"/>
      <c r="J12" s="1167"/>
      <c r="K12" s="1167"/>
      <c r="L12" s="1167"/>
      <c r="M12" s="1167"/>
      <c r="N12" s="1167"/>
      <c r="O12" s="1167"/>
      <c r="P12" s="1167"/>
      <c r="Q12" s="1167"/>
      <c r="R12" s="1167"/>
      <c r="S12" s="1167"/>
      <c r="T12" s="1042"/>
      <c r="U12" s="1041"/>
      <c r="V12" s="1213">
        <f>IFERROR(VLOOKUP(Y5,【参考】数式用!$A$5:$AB$37,MATCH(V11,【参考】数式用!$B$4:$AB$4,0)+1,FALSE),"")</f>
        <v>0.05</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新加算Ⅴ(14)</v>
      </c>
      <c r="W14" s="1097"/>
      <c r="X14" s="1097"/>
      <c r="Y14" s="1097"/>
      <c r="Z14" s="1097"/>
      <c r="AA14" s="1190"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f>IFERROR(VLOOKUP(Y5,【参考】数式用!$A$5:$AB$37,MATCH(V14,【参考】数式用!$B$4:$AB$4,0)+1,FALSE),"")</f>
        <v>3.2000000000000001E-2</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福祉専門職員配置等加算を算定する。</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処遇加算Ⅱ</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ベア加算</v>
      </c>
      <c r="BB48" s="1017"/>
      <c r="BC48" s="1017"/>
      <c r="BD48" s="1017"/>
      <c r="BE48" s="1168" t="str">
        <f>AS48&amp;AW48&amp;BA48</f>
        <v>処遇加算Ⅱ特定加算なしベア加算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処遇加算Ⅱ</v>
      </c>
      <c r="H49" s="1045"/>
      <c r="I49" s="1045"/>
      <c r="J49" s="1045"/>
      <c r="K49" s="1046"/>
      <c r="L49" s="1059" t="str">
        <f>IFERROR(IF(G9="","",IF(AND(OR(AH61=1,AH61=2),AH62=1,AH63=1),"特定加算Ⅰ",IF(AND(OR(AH61=1,AH61=2),AH62=2,AH63=1),"特定加算Ⅱ",IF(OR(AH61=3,AH62=2,AH63=2),"特定加算なし","")))),"")</f>
        <v>特定加算なし</v>
      </c>
      <c r="M49" s="1060"/>
      <c r="N49" s="1060"/>
      <c r="O49" s="1060"/>
      <c r="P49" s="1061"/>
      <c r="Q49" s="1081" t="str">
        <f>IFERROR(IF(OR(L9="ベア加算",AND(L9="ベア加算なし",AH57=1)),"ベア加算",IF(AH57=2,"ベア加算なし","")),"")</f>
        <v>ベア加算</v>
      </c>
      <c r="R49" s="1045"/>
      <c r="S49" s="1045"/>
      <c r="T49" s="1045"/>
      <c r="U49" s="1082"/>
      <c r="V49" s="1083" t="s">
        <v>10</v>
      </c>
      <c r="W49" s="1084"/>
      <c r="X49" s="1084"/>
      <c r="Y49" s="1084"/>
      <c r="Z49" s="1084"/>
      <c r="AA49" s="1042"/>
      <c r="AB49" s="1042"/>
      <c r="AC49" s="1024" t="str">
        <f>IFERROR(VLOOKUP(BE48,【参考】数式用2!E6:F23,2,FALSE),"")</f>
        <v>新加算Ⅳ</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f>IFERROR(VLOOKUP(Y5,【参考】数式用!$A$5:$J$37,MATCH(G49,【参考】数式用!$B$4:$J$4,0)+1,0),"")</f>
        <v>4.1000000000000002E-2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1.2999999999999999E-2</v>
      </c>
      <c r="R50" s="1028"/>
      <c r="S50" s="1028"/>
      <c r="T50" s="1028"/>
      <c r="U50" s="1034"/>
      <c r="V50" s="1035">
        <f>SUM(G50,L50,Q50)</f>
        <v>5.3999999999999999E-2</v>
      </c>
      <c r="W50" s="1036"/>
      <c r="X50" s="1036"/>
      <c r="Y50" s="1036"/>
      <c r="Z50" s="1036"/>
      <c r="AA50" s="1042"/>
      <c r="AB50" s="1042"/>
      <c r="AC50" s="1037">
        <f>IFERROR(VLOOKUP(Y5,【参考】数式用!$A$5:$AB$37,MATCH(AC49,【参考】数式用!$B$4:$AB$4,0)+1,FALSE),"")</f>
        <v>6.3E-2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282900</v>
      </c>
      <c r="H51" s="1050"/>
      <c r="I51" s="1050"/>
      <c r="J51" s="1050"/>
      <c r="K51" s="55" t="s">
        <v>2117</v>
      </c>
      <c r="L51" s="1156">
        <f>IFERROR(ROUNDDOWN(ROUND(AM5*L50,0),0)*H53,"")</f>
        <v>0</v>
      </c>
      <c r="M51" s="1157"/>
      <c r="N51" s="1157"/>
      <c r="O51" s="1157"/>
      <c r="P51" s="55" t="s">
        <v>2117</v>
      </c>
      <c r="Q51" s="1056">
        <f>IFERROR(ROUNDDOWN(ROUND(AM5*Q50,0),0)*H53,"")</f>
        <v>89700</v>
      </c>
      <c r="R51" s="1050"/>
      <c r="S51" s="1050"/>
      <c r="T51" s="1050"/>
      <c r="U51" s="56" t="s">
        <v>2117</v>
      </c>
      <c r="V51" s="1057">
        <f>IFERROR(SUM(G51,L51,Q51),"")</f>
        <v>372600</v>
      </c>
      <c r="W51" s="1058"/>
      <c r="X51" s="1058"/>
      <c r="Y51" s="1058"/>
      <c r="Z51" s="57" t="s">
        <v>2117</v>
      </c>
      <c r="AB51" s="58"/>
      <c r="AC51" s="1056">
        <f>IFERROR(ROUNDDOWN(ROUND(AM5*AC50,0),0)*AD53,"")</f>
        <v>2173500</v>
      </c>
      <c r="AD51" s="1050"/>
      <c r="AE51" s="1050"/>
      <c r="AF51" s="1050"/>
      <c r="AG51" s="1050"/>
      <c r="AH51" s="56" t="s">
        <v>2117</v>
      </c>
      <c r="AS51" s="1015">
        <f>IFERROR(ROUNDDOWN(ROUND(AM5*(G50-B10),0),0)*H53,"")</f>
        <v>124200</v>
      </c>
      <c r="AT51" s="1015"/>
      <c r="AU51" s="1015"/>
      <c r="AV51" s="1015"/>
      <c r="AW51" s="1015">
        <f>IFERROR(ROUNDDOWN(ROUND(AM5*(L50-G10),0),0)*H53,"")</f>
        <v>0</v>
      </c>
      <c r="AX51" s="1015"/>
      <c r="AY51" s="1015"/>
      <c r="AZ51" s="1015"/>
      <c r="BA51" s="1015">
        <f>IFERROR(ROUNDDOWN(ROUND(AM5*(Q50-L10),0),0)*H53,"")</f>
        <v>89700</v>
      </c>
      <c r="BB51" s="1015"/>
      <c r="BC51" s="1015"/>
      <c r="BD51" s="1015"/>
      <c r="BE51" s="1015">
        <f>IFERROR(ROUNDDOWN(ROUND(AM5*(AC50-Q10),0),0)*AD53,"")</f>
        <v>1380000</v>
      </c>
      <c r="BF51" s="1015"/>
      <c r="BG51" s="1015"/>
      <c r="BH51" s="1015"/>
      <c r="BI51" s="1015">
        <f>SUM(AS51:BH51)</f>
        <v>1593900</v>
      </c>
      <c r="BJ51" s="1015"/>
      <c r="BK51" s="1015"/>
      <c r="BL51" s="1015"/>
      <c r="BM51" s="141"/>
      <c r="BN51" s="1015">
        <f>IFERROR(ROUNDDOWN(ROUNDDOWN(ROUND(AM5*(VLOOKUP(Y5,【参考】数式用!$A$5:$AB$37,14,FALSE)),0),0)*AD53*0.5,0),"")</f>
        <v>1086750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(141,450円/月)</v>
      </c>
      <c r="H52" s="1055"/>
      <c r="I52" s="1055"/>
      <c r="J52" s="1055"/>
      <c r="K52" s="1055"/>
      <c r="L52" s="1052" t="str">
        <f>IFERROR("("&amp;TEXT(L51/H53,"#,##0円")&amp;"/月)","")</f>
        <v>(0円/月)</v>
      </c>
      <c r="M52" s="1053"/>
      <c r="N52" s="1053"/>
      <c r="O52" s="1053"/>
      <c r="P52" s="1054"/>
      <c r="Q52" s="1055" t="str">
        <f>IFERROR("("&amp;TEXT(Q51/H53,"#,##0円")&amp;"/月)","")</f>
        <v>(44,850円/月)</v>
      </c>
      <c r="R52" s="1055"/>
      <c r="S52" s="1055"/>
      <c r="T52" s="1055"/>
      <c r="U52" s="1055"/>
      <c r="V52" s="1055" t="str">
        <f>IFERROR("("&amp;TEXT(V51/H53,"#,##0円")&amp;"/月)","")</f>
        <v>(186,300円/月)</v>
      </c>
      <c r="W52" s="1055"/>
      <c r="X52" s="1055"/>
      <c r="Y52" s="1055"/>
      <c r="Z52" s="1055"/>
      <c r="AB52" s="58"/>
      <c r="AC52" s="1052" t="str">
        <f>IFERROR("("&amp;TEXT(AC51/AD53,"#,##0円")&amp;"/月)","")</f>
        <v>(217,350円/月)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426">
        <f>IF(AND(B9&lt;&gt;"処遇加算なし",F15=4),IF(V21="✓",1,IF(V22="✓",2,"")),"")</f>
        <v>2</v>
      </c>
      <c r="AA57" s="145"/>
      <c r="AB57" s="149"/>
      <c r="AC57" s="1016" t="s">
        <v>2377</v>
      </c>
      <c r="AD57" s="1016"/>
      <c r="AE57" s="1016"/>
      <c r="AF57" s="1016"/>
      <c r="AG57" s="1016"/>
      <c r="AH57" s="425">
        <f>IF(AND(F15&lt;&gt;4,F15&lt;&gt;5),0,IF(AT8="○",1,0))</f>
        <v>1</v>
      </c>
      <c r="AI57" s="153"/>
      <c r="AJ57" s="149"/>
      <c r="AK57" s="1016" t="s">
        <v>2377</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426">
        <f>IF(AND(B9&lt;&gt;"処遇加算なし",F15=4),IF(V24="✓",1,IF(V25="✓",2,IF(V26="✓",3,""))),"")</f>
        <v>2</v>
      </c>
      <c r="AA58" s="145"/>
      <c r="AB58" s="149"/>
      <c r="AC58" s="1150" t="s">
        <v>2378</v>
      </c>
      <c r="AD58" s="1150"/>
      <c r="AE58" s="1150"/>
      <c r="AF58" s="1150"/>
      <c r="AG58" s="1150"/>
      <c r="AH58" s="425">
        <f>IF(AND(F15&lt;&gt;4,F15&lt;&gt;5),0,IF(AU8="○",1,3))</f>
        <v>1</v>
      </c>
      <c r="AI58" s="153"/>
      <c r="AJ58" s="149"/>
      <c r="AK58" s="1150" t="s">
        <v>2378</v>
      </c>
      <c r="AL58" s="1150"/>
      <c r="AM58" s="1150"/>
      <c r="AN58" s="1150"/>
      <c r="AO58" s="1150"/>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426">
        <f>IF(AND(B9&lt;&gt;"処遇加算なし",F15=4),IF(V28="✓",1,IF(V29="✓",2,IF(V30="✓",3,""))),"")</f>
        <v>2</v>
      </c>
      <c r="AA59" s="145"/>
      <c r="AB59" s="149"/>
      <c r="AC59" s="1150" t="s">
        <v>2379</v>
      </c>
      <c r="AD59" s="1150"/>
      <c r="AE59" s="1150"/>
      <c r="AF59" s="1150"/>
      <c r="AG59" s="1150"/>
      <c r="AH59" s="425">
        <f>IF(AND(F15&lt;&gt;4,F15&lt;&gt;5),0,IF(AV8="○",1,3))</f>
        <v>1</v>
      </c>
      <c r="AI59" s="153"/>
      <c r="AJ59" s="149"/>
      <c r="AK59" s="1150" t="s">
        <v>2379</v>
      </c>
      <c r="AL59" s="1150"/>
      <c r="AM59" s="1150"/>
      <c r="AN59" s="1150"/>
      <c r="AO59" s="1150"/>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426">
        <f>IF(AND(B9&lt;&gt;"処遇加算なし",F15=4),IF(V32="✓",1,IF(V33="✓",2,"")),"")</f>
        <v>2</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426">
        <f>IF(AND(B9&lt;&gt;"処遇加算なし",F15=4),IF(V36="✓",1,IF(V37="✓",2,"")),"")</f>
        <v>2</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426">
        <f>IF(AND(B9&lt;&gt;"処遇加算なし",F15=4),IF(V40="✓",1,IF(V41="✓",2,"")),"")</f>
        <v>2</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426">
        <f>IF(AND(B9&lt;&gt;"処遇加算なし",F15=4),IF(V44="✓",1,IF(V45="✓",2,"")),"")</f>
        <v>2</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topLeftCell="A61" zoomScaleNormal="53" zoomScaleSheetLayoutView="100" workbookViewId="0">
      <selection activeCell="T67" sqref="T6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2327</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1"/>
      <c r="AR2" s="431"/>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27"/>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0" t="s">
        <v>2111</v>
      </c>
      <c r="F15" s="54">
        <v>4</v>
      </c>
      <c r="G15" s="430" t="s">
        <v>2112</v>
      </c>
      <c r="H15" s="1135" t="s">
        <v>2113</v>
      </c>
      <c r="I15" s="1135"/>
      <c r="J15" s="1148"/>
      <c r="K15" s="54">
        <v>7</v>
      </c>
      <c r="L15" s="430" t="s">
        <v>2111</v>
      </c>
      <c r="M15" s="54">
        <v>3</v>
      </c>
      <c r="N15" s="430" t="s">
        <v>2112</v>
      </c>
      <c r="O15" s="430" t="s">
        <v>2114</v>
      </c>
      <c r="P15" s="104">
        <f>(K15*12+M15)-(D15*12+F15)+1</f>
        <v>12</v>
      </c>
      <c r="Q15" s="1135" t="s">
        <v>2115</v>
      </c>
      <c r="R15" s="1135"/>
      <c r="S15" s="105" t="s">
        <v>69</v>
      </c>
      <c r="U15" s="427"/>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29"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29"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29"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29"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29"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29"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29"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29"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2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29"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29"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2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05" t="s">
        <v>13</v>
      </c>
      <c r="BB50" s="1006"/>
      <c r="BC50" s="1006"/>
      <c r="BD50" s="1007"/>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zoomScaleNormal="53" zoomScaleSheetLayoutView="100" workbookViewId="0">
      <selection activeCell="N1" sqref="N1:AE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2328</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438"/>
      <c r="AR2" s="438"/>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435"/>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439" t="s">
        <v>2111</v>
      </c>
      <c r="F15" s="54">
        <v>4</v>
      </c>
      <c r="G15" s="439" t="s">
        <v>2112</v>
      </c>
      <c r="H15" s="1135" t="s">
        <v>2113</v>
      </c>
      <c r="I15" s="1135"/>
      <c r="J15" s="1148"/>
      <c r="K15" s="54">
        <v>7</v>
      </c>
      <c r="L15" s="439" t="s">
        <v>2111</v>
      </c>
      <c r="M15" s="54">
        <v>3</v>
      </c>
      <c r="N15" s="439" t="s">
        <v>2112</v>
      </c>
      <c r="O15" s="439" t="s">
        <v>2114</v>
      </c>
      <c r="P15" s="104">
        <f>(K15*12+M15)-(D15*12+F15)+1</f>
        <v>12</v>
      </c>
      <c r="Q15" s="1135" t="s">
        <v>2115</v>
      </c>
      <c r="R15" s="1135"/>
      <c r="S15" s="105" t="s">
        <v>69</v>
      </c>
      <c r="U15" s="435"/>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440"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440"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440"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440"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440"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440"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440"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440"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44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440"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440"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44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zoomScaleNormal="53" zoomScaleSheetLayoutView="100" workbookViewId="0">
      <selection activeCell="N3" sqref="N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2329</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zoomScaleNormal="53" zoomScaleSheetLayoutView="100" workbookViewId="0">
      <selection activeCell="N3" sqref="N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2330</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2120</v>
      </c>
      <c r="M1" s="73"/>
      <c r="N1" s="1149" t="s">
        <v>2331</v>
      </c>
      <c r="O1" s="1149"/>
      <c r="P1" s="1149"/>
      <c r="Q1" s="1149"/>
      <c r="R1" s="1149"/>
      <c r="S1" s="1149"/>
      <c r="T1" s="1149"/>
      <c r="U1" s="1149"/>
      <c r="V1" s="1149"/>
      <c r="W1" s="1149"/>
      <c r="X1" s="1149"/>
      <c r="Y1" s="1149"/>
      <c r="Z1" s="1149"/>
      <c r="AA1" s="1149"/>
      <c r="AB1" s="1149"/>
      <c r="AC1" s="1149"/>
      <c r="AD1" s="1149"/>
      <c r="AE1" s="1149"/>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49"/>
      <c r="O2" s="1149"/>
      <c r="P2" s="1149"/>
      <c r="Q2" s="1149"/>
      <c r="R2" s="1149"/>
      <c r="S2" s="1149"/>
      <c r="T2" s="1149"/>
      <c r="U2" s="1149"/>
      <c r="V2" s="1149"/>
      <c r="W2" s="1149"/>
      <c r="X2" s="1149"/>
      <c r="Y2" s="1149"/>
      <c r="Z2" s="1149"/>
      <c r="AA2" s="1149"/>
      <c r="AB2" s="1149"/>
      <c r="AC2" s="1149"/>
      <c r="AD2" s="1149"/>
      <c r="AE2" s="1149"/>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104" t="s">
        <v>2238</v>
      </c>
      <c r="C4" s="1104"/>
      <c r="D4" s="1104"/>
      <c r="E4" s="1104"/>
      <c r="F4" s="1104"/>
      <c r="G4" s="1105" t="s">
        <v>0</v>
      </c>
      <c r="H4" s="1105"/>
      <c r="I4" s="1105"/>
      <c r="J4" s="1106" t="s">
        <v>1</v>
      </c>
      <c r="K4" s="1107"/>
      <c r="L4" s="1107"/>
      <c r="M4" s="1107"/>
      <c r="N4" s="1107"/>
      <c r="O4" s="1108"/>
      <c r="P4" s="1195" t="s">
        <v>2</v>
      </c>
      <c r="Q4" s="1196"/>
      <c r="R4" s="1196"/>
      <c r="S4" s="1196"/>
      <c r="T4" s="1196"/>
      <c r="U4" s="1196"/>
      <c r="V4" s="1196"/>
      <c r="W4" s="1196"/>
      <c r="X4" s="1197"/>
      <c r="Y4" s="1106" t="s">
        <v>3</v>
      </c>
      <c r="Z4" s="1107"/>
      <c r="AA4" s="1107"/>
      <c r="AB4" s="1107"/>
      <c r="AC4" s="1107"/>
      <c r="AD4" s="1108"/>
      <c r="AE4" s="1152" t="s">
        <v>2318</v>
      </c>
      <c r="AF4" s="1153"/>
      <c r="AG4" s="1153"/>
      <c r="AH4" s="1154"/>
      <c r="AI4" s="1152" t="s">
        <v>2319</v>
      </c>
      <c r="AJ4" s="1153"/>
      <c r="AK4" s="1153"/>
      <c r="AL4" s="1154"/>
      <c r="AM4" s="1152" t="s">
        <v>2320</v>
      </c>
      <c r="AN4" s="1153"/>
      <c r="AO4" s="1153"/>
      <c r="AP4" s="1154"/>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098"/>
      <c r="C5" s="1098"/>
      <c r="D5" s="1098"/>
      <c r="E5" s="1098"/>
      <c r="F5" s="1098"/>
      <c r="G5" s="1099"/>
      <c r="H5" s="1099"/>
      <c r="I5" s="1099"/>
      <c r="J5" s="1100"/>
      <c r="K5" s="1100"/>
      <c r="L5" s="1100"/>
      <c r="M5" s="1101"/>
      <c r="N5" s="1101"/>
      <c r="O5" s="1101"/>
      <c r="P5" s="1214"/>
      <c r="Q5" s="1215"/>
      <c r="R5" s="1215"/>
      <c r="S5" s="1215"/>
      <c r="T5" s="1215"/>
      <c r="U5" s="1215"/>
      <c r="V5" s="1215"/>
      <c r="W5" s="1215"/>
      <c r="X5" s="1216"/>
      <c r="Y5" s="1155"/>
      <c r="Z5" s="1155"/>
      <c r="AA5" s="1155"/>
      <c r="AB5" s="1155"/>
      <c r="AC5" s="1155"/>
      <c r="AD5" s="1155"/>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112"/>
      <c r="C9" s="1113"/>
      <c r="D9" s="1113"/>
      <c r="E9" s="1113"/>
      <c r="F9" s="1114"/>
      <c r="G9" s="1115"/>
      <c r="H9" s="1116"/>
      <c r="I9" s="1116"/>
      <c r="J9" s="1116"/>
      <c r="K9" s="1117"/>
      <c r="L9" s="1118"/>
      <c r="M9" s="1119"/>
      <c r="N9" s="1119"/>
      <c r="O9" s="1119"/>
      <c r="P9" s="1120"/>
      <c r="Q9" s="1102" t="s">
        <v>2052</v>
      </c>
      <c r="R9" s="1103"/>
      <c r="S9" s="1103"/>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21" t="str">
        <f>IFERROR(VLOOKUP(Y5,【参考】数式用!$A$5:$J$37,MATCH(B9,【参考】数式用!$B$4:$J$4,0)+1,0),"")</f>
        <v/>
      </c>
      <c r="C10" s="1122"/>
      <c r="D10" s="1122"/>
      <c r="E10" s="1122"/>
      <c r="F10" s="1123"/>
      <c r="G10" s="1121" t="str">
        <f>IFERROR(VLOOKUP(Y5,【参考】数式用!$A$5:$J$37,MATCH(G9,【参考】数式用!$B$4:$J$4,0)+1,0),"")</f>
        <v/>
      </c>
      <c r="H10" s="1122"/>
      <c r="I10" s="1122"/>
      <c r="J10" s="1122"/>
      <c r="K10" s="1123"/>
      <c r="L10" s="1127" t="str">
        <f>IFERROR(VLOOKUP(Y5,【参考】数式用!$A$5:$J$37,MATCH(L9,【参考】数式用!$B$4:$J$4,0)+1,0),"")</f>
        <v/>
      </c>
      <c r="M10" s="1128"/>
      <c r="N10" s="1128"/>
      <c r="O10" s="1128"/>
      <c r="P10" s="1129"/>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24"/>
      <c r="C11" s="1125"/>
      <c r="D11" s="1125"/>
      <c r="E11" s="1125"/>
      <c r="F11" s="1126"/>
      <c r="G11" s="1124"/>
      <c r="H11" s="1125"/>
      <c r="I11" s="1125"/>
      <c r="J11" s="1125"/>
      <c r="K11" s="1126"/>
      <c r="L11" s="1130"/>
      <c r="M11" s="1131"/>
      <c r="N11" s="1131"/>
      <c r="O11" s="1131"/>
      <c r="P11" s="1132"/>
      <c r="Q11" s="1035"/>
      <c r="R11" s="1036"/>
      <c r="S11" s="1036"/>
      <c r="T11" s="1042"/>
      <c r="U11" s="1041"/>
      <c r="V11" s="1097" t="str">
        <f>IFERROR(IF(VLOOKUP(AS1,【参考】数式用2!E6:L23,5,FALSE)="","",VLOOKUP(AS1,【参考】数式用2!E6:L23,5,FALSE)),"")</f>
        <v/>
      </c>
      <c r="W11" s="1097"/>
      <c r="X11" s="1097"/>
      <c r="Y11" s="1097"/>
      <c r="Z11" s="1097"/>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6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67"/>
      <c r="D12" s="1167"/>
      <c r="E12" s="1167"/>
      <c r="F12" s="1167"/>
      <c r="G12" s="1167"/>
      <c r="H12" s="1167"/>
      <c r="I12" s="1167"/>
      <c r="J12" s="1167"/>
      <c r="K12" s="1167"/>
      <c r="L12" s="1167"/>
      <c r="M12" s="1167"/>
      <c r="N12" s="1167"/>
      <c r="O12" s="1167"/>
      <c r="P12" s="1167"/>
      <c r="Q12" s="1167"/>
      <c r="R12" s="1167"/>
      <c r="S12" s="1167"/>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42" t="s">
        <v>2116</v>
      </c>
      <c r="C13" s="1143"/>
      <c r="D13" s="1143"/>
      <c r="E13" s="1143"/>
      <c r="F13" s="1143"/>
      <c r="G13" s="1143"/>
      <c r="H13" s="1143"/>
      <c r="I13" s="1143"/>
      <c r="J13" s="1143"/>
      <c r="K13" s="1143"/>
      <c r="L13" s="1143"/>
      <c r="M13" s="1143"/>
      <c r="N13" s="1143"/>
      <c r="O13" s="1143"/>
      <c r="P13" s="1143"/>
      <c r="Q13" s="1143"/>
      <c r="R13" s="1143"/>
      <c r="S13" s="1144"/>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45"/>
      <c r="C14" s="1146"/>
      <c r="D14" s="1146"/>
      <c r="E14" s="1146"/>
      <c r="F14" s="1146"/>
      <c r="G14" s="1146"/>
      <c r="H14" s="1146"/>
      <c r="I14" s="1146"/>
      <c r="J14" s="1146"/>
      <c r="K14" s="1146"/>
      <c r="L14" s="1146"/>
      <c r="M14" s="1146"/>
      <c r="N14" s="1146"/>
      <c r="O14" s="1146"/>
      <c r="P14" s="1146"/>
      <c r="Q14" s="1146"/>
      <c r="R14" s="1146"/>
      <c r="S14" s="1147"/>
      <c r="U14" s="533"/>
      <c r="V14" s="1097" t="str">
        <f>IFERROR(IF(VLOOKUP(AS1,【参考】数式用2!E6:L23,7,FALSE)="","",VLOOKUP(AS1,【参考】数式用2!E6:L23,7,FALSE)),"")</f>
        <v/>
      </c>
      <c r="W14" s="1097"/>
      <c r="X14" s="1097"/>
      <c r="Y14" s="1097"/>
      <c r="Z14" s="1097"/>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33" t="s">
        <v>2110</v>
      </c>
      <c r="C15" s="1134"/>
      <c r="D15" s="54">
        <v>6</v>
      </c>
      <c r="E15" s="537" t="s">
        <v>2111</v>
      </c>
      <c r="F15" s="54">
        <v>4</v>
      </c>
      <c r="G15" s="537" t="s">
        <v>2112</v>
      </c>
      <c r="H15" s="1135" t="s">
        <v>2113</v>
      </c>
      <c r="I15" s="1135"/>
      <c r="J15" s="1148"/>
      <c r="K15" s="54">
        <v>7</v>
      </c>
      <c r="L15" s="537" t="s">
        <v>2111</v>
      </c>
      <c r="M15" s="54">
        <v>3</v>
      </c>
      <c r="N15" s="537" t="s">
        <v>2112</v>
      </c>
      <c r="O15" s="537" t="s">
        <v>2114</v>
      </c>
      <c r="P15" s="104">
        <f>(K15*12+M15)-(D15*12+F15)+1</f>
        <v>12</v>
      </c>
      <c r="Q15" s="1135" t="s">
        <v>2115</v>
      </c>
      <c r="R15" s="1135"/>
      <c r="S15" s="105" t="s">
        <v>69</v>
      </c>
      <c r="U15" s="533"/>
      <c r="V15" s="1136" t="str">
        <f>IFERROR(VLOOKUP(Y5,【参考】数式用!$A$5:$AB$37,MATCH(V14,【参考】数式用!$B$4:$AB$4,0)+1,FALSE),"")</f>
        <v/>
      </c>
      <c r="W15" s="1137"/>
      <c r="X15" s="1137"/>
      <c r="Y15" s="1137"/>
      <c r="Z15" s="1138"/>
      <c r="AA15" s="1094"/>
      <c r="AB15" s="1095"/>
      <c r="AC15" s="1095"/>
      <c r="AD15" s="1095"/>
      <c r="AE15" s="1095"/>
      <c r="AF15" s="1095"/>
      <c r="AG15" s="1095"/>
      <c r="AH15" s="1095"/>
      <c r="AI15" s="1095"/>
      <c r="AJ15" s="1095"/>
      <c r="AK15" s="1095"/>
      <c r="AL15" s="1095"/>
      <c r="AM15" s="1095"/>
      <c r="AN15" s="1095"/>
      <c r="AO15" s="1095"/>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39"/>
      <c r="W16" s="1140"/>
      <c r="X16" s="1140"/>
      <c r="Y16" s="1140"/>
      <c r="Z16" s="1141"/>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5" customHeight="1">
      <c r="B20" s="1088"/>
      <c r="C20" s="1088"/>
      <c r="D20" s="1088"/>
      <c r="E20" s="1088"/>
      <c r="F20" s="1088"/>
      <c r="G20" s="1088"/>
      <c r="H20" s="1088"/>
      <c r="I20" s="1088"/>
      <c r="J20" s="1088"/>
      <c r="K20" s="1088"/>
      <c r="L20" s="1088"/>
      <c r="M20" s="1088"/>
      <c r="N20" s="1088"/>
      <c r="O20" s="1088"/>
      <c r="P20" s="1088"/>
      <c r="Q20" s="1088"/>
      <c r="R20" s="1088"/>
      <c r="S20" s="1088"/>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075" t="s">
        <v>2122</v>
      </c>
      <c r="C21" s="1076"/>
      <c r="D21" s="1076"/>
      <c r="E21" s="1076"/>
      <c r="F21" s="1077"/>
      <c r="G21" s="1069" t="s">
        <v>217</v>
      </c>
      <c r="H21" s="1070"/>
      <c r="I21" s="1070"/>
      <c r="J21" s="1070"/>
      <c r="K21" s="1070"/>
      <c r="L21" s="1070"/>
      <c r="M21" s="1070"/>
      <c r="N21" s="1070"/>
      <c r="O21" s="1070"/>
      <c r="P21" s="1070"/>
      <c r="Q21" s="1070"/>
      <c r="R21" s="1070"/>
      <c r="S21" s="1070"/>
      <c r="T21" s="1071"/>
      <c r="U21" s="118"/>
      <c r="V21" s="538" t="str">
        <f>IFERROR(IF(L9="ベア加算","✓",""),"")</f>
        <v/>
      </c>
      <c r="W21" s="1013" t="s">
        <v>14</v>
      </c>
      <c r="X21" s="1013"/>
      <c r="Y21" s="1013"/>
      <c r="Z21" s="1013"/>
      <c r="AA21" s="1040" t="s">
        <v>12</v>
      </c>
      <c r="AB21" s="1041"/>
      <c r="AC21" s="120"/>
      <c r="AD21" s="1068" t="s">
        <v>14</v>
      </c>
      <c r="AE21" s="1068"/>
      <c r="AF21" s="1068"/>
      <c r="AG21" s="1068"/>
      <c r="AH21" s="1068"/>
      <c r="AI21" s="1040" t="s">
        <v>12</v>
      </c>
      <c r="AJ21" s="1041"/>
      <c r="AK21" s="121"/>
      <c r="AL21" s="1068" t="s">
        <v>14</v>
      </c>
      <c r="AM21" s="1068"/>
      <c r="AN21" s="1068"/>
      <c r="AO21" s="1068"/>
      <c r="AP21" s="1068"/>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078"/>
      <c r="C22" s="1079"/>
      <c r="D22" s="1079"/>
      <c r="E22" s="1079"/>
      <c r="F22" s="1080"/>
      <c r="G22" s="1072"/>
      <c r="H22" s="1073"/>
      <c r="I22" s="1073"/>
      <c r="J22" s="1073"/>
      <c r="K22" s="1073"/>
      <c r="L22" s="1073"/>
      <c r="M22" s="1073"/>
      <c r="N22" s="1073"/>
      <c r="O22" s="1073"/>
      <c r="P22" s="1073"/>
      <c r="Q22" s="1073"/>
      <c r="R22" s="1073"/>
      <c r="S22" s="1073"/>
      <c r="T22" s="1074"/>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75" t="s">
        <v>2068</v>
      </c>
      <c r="C24" s="1076"/>
      <c r="D24" s="1076"/>
      <c r="E24" s="1076"/>
      <c r="F24" s="1077"/>
      <c r="G24" s="1069" t="s">
        <v>2321</v>
      </c>
      <c r="H24" s="1070"/>
      <c r="I24" s="1070"/>
      <c r="J24" s="1070"/>
      <c r="K24" s="1070"/>
      <c r="L24" s="1070"/>
      <c r="M24" s="1070"/>
      <c r="N24" s="1070"/>
      <c r="O24" s="1070"/>
      <c r="P24" s="1070"/>
      <c r="Q24" s="1070"/>
      <c r="R24" s="1070"/>
      <c r="S24" s="1070"/>
      <c r="T24" s="1071"/>
      <c r="U24" s="118"/>
      <c r="V24" s="538" t="str">
        <f>IFERROR(IF(OR(B9="処遇加算Ⅰ",B9="処遇加算Ⅱ"),"✓",""),"")</f>
        <v/>
      </c>
      <c r="W24" s="1085" t="s">
        <v>2097</v>
      </c>
      <c r="X24" s="1086"/>
      <c r="Y24" s="1086"/>
      <c r="Z24" s="1087"/>
      <c r="AA24" s="1040" t="s">
        <v>12</v>
      </c>
      <c r="AB24" s="1041"/>
      <c r="AC24" s="120"/>
      <c r="AD24" s="1089" t="s">
        <v>14</v>
      </c>
      <c r="AE24" s="1089"/>
      <c r="AF24" s="1089"/>
      <c r="AG24" s="1089"/>
      <c r="AH24" s="1089"/>
      <c r="AI24" s="1040" t="s">
        <v>12</v>
      </c>
      <c r="AJ24" s="1041"/>
      <c r="AK24" s="120"/>
      <c r="AL24" s="1089" t="s">
        <v>14</v>
      </c>
      <c r="AM24" s="1089"/>
      <c r="AN24" s="1089"/>
      <c r="AO24" s="1089"/>
      <c r="AP24" s="1089"/>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090"/>
      <c r="C25" s="1091"/>
      <c r="D25" s="1091"/>
      <c r="E25" s="1091"/>
      <c r="F25" s="1092"/>
      <c r="G25" s="1094"/>
      <c r="H25" s="1095"/>
      <c r="I25" s="1095"/>
      <c r="J25" s="1095"/>
      <c r="K25" s="1095"/>
      <c r="L25" s="1095"/>
      <c r="M25" s="1095"/>
      <c r="N25" s="1095"/>
      <c r="O25" s="1095"/>
      <c r="P25" s="1095"/>
      <c r="Q25" s="1095"/>
      <c r="R25" s="1095"/>
      <c r="S25" s="1095"/>
      <c r="T25" s="1096"/>
      <c r="U25" s="118"/>
      <c r="V25" s="538" t="str">
        <f>IFERROR(IF(B9="処遇加算Ⅲ","✓",""),"")</f>
        <v/>
      </c>
      <c r="W25" s="1085" t="s">
        <v>19</v>
      </c>
      <c r="X25" s="1086"/>
      <c r="Y25" s="1086"/>
      <c r="Z25" s="1087"/>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078"/>
      <c r="C26" s="1079"/>
      <c r="D26" s="1079"/>
      <c r="E26" s="1079"/>
      <c r="F26" s="1080"/>
      <c r="G26" s="1072"/>
      <c r="H26" s="1073"/>
      <c r="I26" s="1073"/>
      <c r="J26" s="1073"/>
      <c r="K26" s="1073"/>
      <c r="L26" s="1073"/>
      <c r="M26" s="1073"/>
      <c r="N26" s="1073"/>
      <c r="O26" s="1073"/>
      <c r="P26" s="1073"/>
      <c r="Q26" s="1073"/>
      <c r="R26" s="1073"/>
      <c r="S26" s="1073"/>
      <c r="T26" s="1074"/>
      <c r="U26" s="92"/>
      <c r="V26" s="538" t="str">
        <f>IFERROR(IF(B9="処遇加算なし","✓",""),"")</f>
        <v/>
      </c>
      <c r="W26" s="1085" t="s">
        <v>2098</v>
      </c>
      <c r="X26" s="1086"/>
      <c r="Y26" s="1086"/>
      <c r="Z26" s="1087"/>
      <c r="AA26" s="1040"/>
      <c r="AB26" s="1041"/>
      <c r="AC26" s="120"/>
      <c r="AD26" s="1089" t="s">
        <v>15</v>
      </c>
      <c r="AE26" s="1089"/>
      <c r="AF26" s="1089"/>
      <c r="AG26" s="1089"/>
      <c r="AH26" s="1089"/>
      <c r="AI26" s="1040"/>
      <c r="AJ26" s="1041"/>
      <c r="AK26" s="121"/>
      <c r="AL26" s="1089" t="s">
        <v>15</v>
      </c>
      <c r="AM26" s="1089"/>
      <c r="AN26" s="1089"/>
      <c r="AO26" s="1089"/>
      <c r="AP26" s="1089"/>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75" t="s">
        <v>2069</v>
      </c>
      <c r="C28" s="1076"/>
      <c r="D28" s="1076"/>
      <c r="E28" s="1076"/>
      <c r="F28" s="1077"/>
      <c r="G28" s="1069" t="s">
        <v>2322</v>
      </c>
      <c r="H28" s="1070"/>
      <c r="I28" s="1070"/>
      <c r="J28" s="1070"/>
      <c r="K28" s="1070"/>
      <c r="L28" s="1070"/>
      <c r="M28" s="1070"/>
      <c r="N28" s="1070"/>
      <c r="O28" s="1070"/>
      <c r="P28" s="1070"/>
      <c r="Q28" s="1070"/>
      <c r="R28" s="1070"/>
      <c r="S28" s="1070"/>
      <c r="T28" s="1071"/>
      <c r="U28" s="118"/>
      <c r="V28" s="538" t="str">
        <f>IFERROR(IF(OR(B9="処遇加算Ⅰ",B9="処遇加算Ⅱ"),"✓",""),"")</f>
        <v/>
      </c>
      <c r="W28" s="1085" t="s">
        <v>2097</v>
      </c>
      <c r="X28" s="1086"/>
      <c r="Y28" s="1086"/>
      <c r="Z28" s="1087"/>
      <c r="AA28" s="1040" t="s">
        <v>12</v>
      </c>
      <c r="AB28" s="1041"/>
      <c r="AC28" s="120"/>
      <c r="AD28" s="1089" t="s">
        <v>14</v>
      </c>
      <c r="AE28" s="1089"/>
      <c r="AF28" s="1089"/>
      <c r="AG28" s="1089"/>
      <c r="AH28" s="1089"/>
      <c r="AI28" s="1040" t="s">
        <v>12</v>
      </c>
      <c r="AJ28" s="1041"/>
      <c r="AK28" s="120"/>
      <c r="AL28" s="1089" t="s">
        <v>14</v>
      </c>
      <c r="AM28" s="1089"/>
      <c r="AN28" s="1089"/>
      <c r="AO28" s="1089"/>
      <c r="AP28" s="1089"/>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090"/>
      <c r="C29" s="1091"/>
      <c r="D29" s="1091"/>
      <c r="E29" s="1091"/>
      <c r="F29" s="1092"/>
      <c r="G29" s="1094"/>
      <c r="H29" s="1095"/>
      <c r="I29" s="1095"/>
      <c r="J29" s="1095"/>
      <c r="K29" s="1095"/>
      <c r="L29" s="1095"/>
      <c r="M29" s="1095"/>
      <c r="N29" s="1095"/>
      <c r="O29" s="1095"/>
      <c r="P29" s="1095"/>
      <c r="Q29" s="1095"/>
      <c r="R29" s="1095"/>
      <c r="S29" s="1095"/>
      <c r="T29" s="1096"/>
      <c r="U29" s="118"/>
      <c r="V29" s="538" t="str">
        <f>IFERROR(IF(B9="処遇加算Ⅲ","✓",""),"")</f>
        <v/>
      </c>
      <c r="W29" s="1085" t="s">
        <v>19</v>
      </c>
      <c r="X29" s="1086"/>
      <c r="Y29" s="1086"/>
      <c r="Z29" s="1087"/>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078"/>
      <c r="C30" s="1079"/>
      <c r="D30" s="1079"/>
      <c r="E30" s="1079"/>
      <c r="F30" s="1080"/>
      <c r="G30" s="1072"/>
      <c r="H30" s="1073"/>
      <c r="I30" s="1073"/>
      <c r="J30" s="1073"/>
      <c r="K30" s="1073"/>
      <c r="L30" s="1073"/>
      <c r="M30" s="1073"/>
      <c r="N30" s="1073"/>
      <c r="O30" s="1073"/>
      <c r="P30" s="1073"/>
      <c r="Q30" s="1073"/>
      <c r="R30" s="1073"/>
      <c r="S30" s="1073"/>
      <c r="T30" s="1074"/>
      <c r="U30" s="92"/>
      <c r="V30" s="538" t="str">
        <f>IFERROR(IF(B9="処遇加算なし","✓",""),"")</f>
        <v/>
      </c>
      <c r="W30" s="1085" t="s">
        <v>2098</v>
      </c>
      <c r="X30" s="1086"/>
      <c r="Y30" s="1086"/>
      <c r="Z30" s="1087"/>
      <c r="AA30" s="1040"/>
      <c r="AB30" s="1041"/>
      <c r="AC30" s="120"/>
      <c r="AD30" s="1089" t="s">
        <v>15</v>
      </c>
      <c r="AE30" s="1089"/>
      <c r="AF30" s="1089"/>
      <c r="AG30" s="1089"/>
      <c r="AH30" s="1089"/>
      <c r="AI30" s="1040"/>
      <c r="AJ30" s="1041"/>
      <c r="AK30" s="121"/>
      <c r="AL30" s="1089" t="s">
        <v>15</v>
      </c>
      <c r="AM30" s="1089"/>
      <c r="AN30" s="1089"/>
      <c r="AO30" s="1089"/>
      <c r="AP30" s="1089"/>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3" t="s">
        <v>2070</v>
      </c>
      <c r="C32" s="1093"/>
      <c r="D32" s="1093"/>
      <c r="E32" s="1093"/>
      <c r="F32" s="1093"/>
      <c r="G32" s="1069" t="s">
        <v>2323</v>
      </c>
      <c r="H32" s="1070"/>
      <c r="I32" s="1070"/>
      <c r="J32" s="1070"/>
      <c r="K32" s="1070"/>
      <c r="L32" s="1070"/>
      <c r="M32" s="1070"/>
      <c r="N32" s="1070"/>
      <c r="O32" s="1070"/>
      <c r="P32" s="1070"/>
      <c r="Q32" s="1070"/>
      <c r="R32" s="1070"/>
      <c r="S32" s="1070"/>
      <c r="T32" s="1071"/>
      <c r="U32" s="118"/>
      <c r="V32" s="538" t="str">
        <f>IFERROR(IF(B9="処遇加算Ⅰ","✓",""),"")</f>
        <v/>
      </c>
      <c r="W32" s="1021" t="s">
        <v>14</v>
      </c>
      <c r="X32" s="1022"/>
      <c r="Y32" s="1022"/>
      <c r="Z32" s="1023"/>
      <c r="AA32" s="1042" t="s">
        <v>12</v>
      </c>
      <c r="AB32" s="1041"/>
      <c r="AC32" s="120"/>
      <c r="AD32" s="1089" t="s">
        <v>14</v>
      </c>
      <c r="AE32" s="1089"/>
      <c r="AF32" s="1089"/>
      <c r="AG32" s="1089"/>
      <c r="AH32" s="1089"/>
      <c r="AI32" s="1042" t="s">
        <v>12</v>
      </c>
      <c r="AJ32" s="1041"/>
      <c r="AK32" s="120"/>
      <c r="AL32" s="1089" t="s">
        <v>14</v>
      </c>
      <c r="AM32" s="1089"/>
      <c r="AN32" s="1089"/>
      <c r="AO32" s="1089"/>
      <c r="AP32" s="1089"/>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3"/>
      <c r="C33" s="1093"/>
      <c r="D33" s="1093"/>
      <c r="E33" s="1093"/>
      <c r="F33" s="1093"/>
      <c r="G33" s="1094"/>
      <c r="H33" s="1095"/>
      <c r="I33" s="1095"/>
      <c r="J33" s="1095"/>
      <c r="K33" s="1095"/>
      <c r="L33" s="1095"/>
      <c r="M33" s="1095"/>
      <c r="N33" s="1095"/>
      <c r="O33" s="1095"/>
      <c r="P33" s="1095"/>
      <c r="Q33" s="1095"/>
      <c r="R33" s="1095"/>
      <c r="S33" s="1095"/>
      <c r="T33" s="1096"/>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3"/>
      <c r="C34" s="1093"/>
      <c r="D34" s="1093"/>
      <c r="E34" s="1093"/>
      <c r="F34" s="1093"/>
      <c r="G34" s="1072"/>
      <c r="H34" s="1073"/>
      <c r="I34" s="1073"/>
      <c r="J34" s="1073"/>
      <c r="K34" s="1073"/>
      <c r="L34" s="1073"/>
      <c r="M34" s="1073"/>
      <c r="N34" s="1073"/>
      <c r="O34" s="1073"/>
      <c r="P34" s="1073"/>
      <c r="Q34" s="1073"/>
      <c r="R34" s="1073"/>
      <c r="S34" s="1073"/>
      <c r="T34" s="1074"/>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3" t="s">
        <v>2071</v>
      </c>
      <c r="C36" s="1093"/>
      <c r="D36" s="1093"/>
      <c r="E36" s="1093"/>
      <c r="F36" s="1093"/>
      <c r="G36" s="1158" t="s">
        <v>2324</v>
      </c>
      <c r="H36" s="1159"/>
      <c r="I36" s="1159"/>
      <c r="J36" s="1159"/>
      <c r="K36" s="1159"/>
      <c r="L36" s="1159"/>
      <c r="M36" s="1159"/>
      <c r="N36" s="1159"/>
      <c r="O36" s="1159"/>
      <c r="P36" s="1159"/>
      <c r="Q36" s="1159"/>
      <c r="R36" s="1159"/>
      <c r="S36" s="1159"/>
      <c r="T36" s="1160"/>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3"/>
      <c r="C37" s="1093"/>
      <c r="D37" s="1093"/>
      <c r="E37" s="1093"/>
      <c r="F37" s="1093"/>
      <c r="G37" s="1161"/>
      <c r="H37" s="1162"/>
      <c r="I37" s="1162"/>
      <c r="J37" s="1162"/>
      <c r="K37" s="1162"/>
      <c r="L37" s="1162"/>
      <c r="M37" s="1162"/>
      <c r="N37" s="1162"/>
      <c r="O37" s="1162"/>
      <c r="P37" s="1162"/>
      <c r="Q37" s="1162"/>
      <c r="R37" s="1162"/>
      <c r="S37" s="1162"/>
      <c r="T37" s="1163"/>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3"/>
      <c r="C38" s="1093"/>
      <c r="D38" s="1093"/>
      <c r="E38" s="1093"/>
      <c r="F38" s="1093"/>
      <c r="G38" s="1164"/>
      <c r="H38" s="1165"/>
      <c r="I38" s="1165"/>
      <c r="J38" s="1165"/>
      <c r="K38" s="1165"/>
      <c r="L38" s="1165"/>
      <c r="M38" s="1165"/>
      <c r="N38" s="1165"/>
      <c r="O38" s="1165"/>
      <c r="P38" s="1165"/>
      <c r="Q38" s="1165"/>
      <c r="R38" s="1165"/>
      <c r="S38" s="1165"/>
      <c r="T38" s="1166"/>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3" t="s">
        <v>2072</v>
      </c>
      <c r="C40" s="1093"/>
      <c r="D40" s="1093"/>
      <c r="E40" s="1093"/>
      <c r="F40" s="1093"/>
      <c r="G40" s="1069" t="str">
        <f>IFERROR(VLOOKUP(Y5,【参考】数式用!AQ5:AR37,2,0),"")</f>
        <v/>
      </c>
      <c r="H40" s="1070"/>
      <c r="I40" s="1070"/>
      <c r="J40" s="1070"/>
      <c r="K40" s="1070"/>
      <c r="L40" s="1070"/>
      <c r="M40" s="1070"/>
      <c r="N40" s="1070"/>
      <c r="O40" s="1070"/>
      <c r="P40" s="1070"/>
      <c r="Q40" s="1070"/>
      <c r="R40" s="1070"/>
      <c r="S40" s="1070"/>
      <c r="T40" s="1071"/>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3"/>
      <c r="C41" s="1093"/>
      <c r="D41" s="1093"/>
      <c r="E41" s="1093"/>
      <c r="F41" s="1093"/>
      <c r="G41" s="1094"/>
      <c r="H41" s="1095"/>
      <c r="I41" s="1095"/>
      <c r="J41" s="1095"/>
      <c r="K41" s="1095"/>
      <c r="L41" s="1095"/>
      <c r="M41" s="1095"/>
      <c r="N41" s="1095"/>
      <c r="O41" s="1095"/>
      <c r="P41" s="1095"/>
      <c r="Q41" s="1095"/>
      <c r="R41" s="1095"/>
      <c r="S41" s="1095"/>
      <c r="T41" s="1096"/>
      <c r="U41" s="92"/>
      <c r="V41" s="538" t="str">
        <f>IFERROR(IF(OR(G9="特定加算Ⅱ",G9="特定加算なし"),"✓",""),"")</f>
        <v/>
      </c>
      <c r="W41" s="1021" t="s">
        <v>15</v>
      </c>
      <c r="X41" s="1022"/>
      <c r="Y41" s="1022"/>
      <c r="Z41" s="1023"/>
      <c r="AA41" s="1040"/>
      <c r="AB41" s="1041"/>
      <c r="AC41" s="134" t="s">
        <v>83</v>
      </c>
      <c r="AD41" s="1065"/>
      <c r="AE41" s="1066"/>
      <c r="AF41" s="1066"/>
      <c r="AG41" s="1066"/>
      <c r="AH41" s="1067"/>
      <c r="AI41" s="1040"/>
      <c r="AJ41" s="1041"/>
      <c r="AK41" s="134" t="s">
        <v>83</v>
      </c>
      <c r="AL41" s="1065"/>
      <c r="AM41" s="1066"/>
      <c r="AN41" s="1066"/>
      <c r="AO41" s="1066"/>
      <c r="AP41" s="1067"/>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3"/>
      <c r="C42" s="1093"/>
      <c r="D42" s="1093"/>
      <c r="E42" s="1093"/>
      <c r="F42" s="1093"/>
      <c r="G42" s="1072"/>
      <c r="H42" s="1073"/>
      <c r="I42" s="1073"/>
      <c r="J42" s="1073"/>
      <c r="K42" s="1073"/>
      <c r="L42" s="1073"/>
      <c r="M42" s="1073"/>
      <c r="N42" s="1073"/>
      <c r="O42" s="1073"/>
      <c r="P42" s="1073"/>
      <c r="Q42" s="1073"/>
      <c r="R42" s="1073"/>
      <c r="S42" s="1073"/>
      <c r="T42" s="1074"/>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3" t="s">
        <v>2073</v>
      </c>
      <c r="C44" s="1093"/>
      <c r="D44" s="1093"/>
      <c r="E44" s="1093"/>
      <c r="F44" s="1093"/>
      <c r="G44" s="1069" t="s">
        <v>2375</v>
      </c>
      <c r="H44" s="1070"/>
      <c r="I44" s="1070"/>
      <c r="J44" s="1070"/>
      <c r="K44" s="1070"/>
      <c r="L44" s="1070"/>
      <c r="M44" s="1070"/>
      <c r="N44" s="1070"/>
      <c r="O44" s="1070"/>
      <c r="P44" s="1070"/>
      <c r="Q44" s="1070"/>
      <c r="R44" s="1070"/>
      <c r="S44" s="1070"/>
      <c r="T44" s="1071"/>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3"/>
      <c r="C45" s="1093"/>
      <c r="D45" s="1093"/>
      <c r="E45" s="1093"/>
      <c r="F45" s="1093"/>
      <c r="G45" s="1072"/>
      <c r="H45" s="1073"/>
      <c r="I45" s="1073"/>
      <c r="J45" s="1073"/>
      <c r="K45" s="1073"/>
      <c r="L45" s="1073"/>
      <c r="M45" s="1073"/>
      <c r="N45" s="1073"/>
      <c r="O45" s="1073"/>
      <c r="P45" s="1073"/>
      <c r="Q45" s="1073"/>
      <c r="R45" s="1073"/>
      <c r="S45" s="1073"/>
      <c r="T45" s="1074"/>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09"/>
      <c r="C48" s="1110"/>
      <c r="D48" s="1110"/>
      <c r="E48" s="1110"/>
      <c r="F48" s="111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62" t="s">
        <v>2016</v>
      </c>
      <c r="C49" s="1063"/>
      <c r="D49" s="1063"/>
      <c r="E49" s="1063"/>
      <c r="F49" s="1064"/>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1" t="str">
        <f>IFERROR(IF(OR(L9="ベア加算",AND(L9="ベア加算なし",AH57=1)),"ベア加算",IF(AH57=2,"ベア加算なし","")),"")</f>
        <v/>
      </c>
      <c r="R49" s="1045"/>
      <c r="S49" s="1045"/>
      <c r="T49" s="1045"/>
      <c r="U49" s="1082"/>
      <c r="V49" s="1083" t="s">
        <v>10</v>
      </c>
      <c r="W49" s="1084"/>
      <c r="X49" s="1084"/>
      <c r="Y49" s="1084"/>
      <c r="Z49" s="1084"/>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62" t="s">
        <v>2017</v>
      </c>
      <c r="C50" s="1063"/>
      <c r="D50" s="1063"/>
      <c r="E50" s="1063"/>
      <c r="F50" s="1064"/>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56" t="str">
        <f>IFERROR(ROUNDDOWN(ROUND(AM5*L50,0),0)*H53,"")</f>
        <v/>
      </c>
      <c r="M51" s="1157"/>
      <c r="N51" s="1157"/>
      <c r="O51" s="1157"/>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5" customHeight="1">
      <c r="U57" s="1016" t="s">
        <v>2377</v>
      </c>
      <c r="V57" s="1016"/>
      <c r="W57" s="1016"/>
      <c r="X57" s="1016"/>
      <c r="Y57" s="1016"/>
      <c r="Z57" s="534" t="str">
        <f>IF(AND(B9&lt;&gt;"処遇加算なし",F15=4),IF(V21="✓",1,IF(V22="✓",2,"")),"")</f>
        <v/>
      </c>
      <c r="AA57" s="145"/>
      <c r="AB57" s="149"/>
      <c r="AC57" s="1016" t="s">
        <v>2377</v>
      </c>
      <c r="AD57" s="1016"/>
      <c r="AE57" s="1016"/>
      <c r="AF57" s="1016"/>
      <c r="AG57" s="1016"/>
      <c r="AH57" s="425">
        <f>IF(AND(F15&lt;&gt;4,F15&lt;&gt;5),0,IF(AT8="○",1,0))</f>
        <v>0</v>
      </c>
      <c r="AI57" s="153"/>
      <c r="AJ57" s="149"/>
      <c r="AK57" s="1016" t="s">
        <v>2377</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5" customHeight="1">
      <c r="U58" s="1150" t="s">
        <v>2378</v>
      </c>
      <c r="V58" s="1150"/>
      <c r="W58" s="1150"/>
      <c r="X58" s="1150"/>
      <c r="Y58" s="1150"/>
      <c r="Z58" s="534" t="str">
        <f>IF(AND(B9&lt;&gt;"処遇加算なし",F15=4),IF(V24="✓",1,IF(V25="✓",2,IF(V26="✓",3,""))),"")</f>
        <v/>
      </c>
      <c r="AA58" s="145"/>
      <c r="AB58" s="149"/>
      <c r="AC58" s="1150" t="s">
        <v>2378</v>
      </c>
      <c r="AD58" s="1150"/>
      <c r="AE58" s="1150"/>
      <c r="AF58" s="1150"/>
      <c r="AG58" s="1150"/>
      <c r="AH58" s="425">
        <f>IF(AND(F15&lt;&gt;4,F15&lt;&gt;5),0,IF(AU8="○",1,3))</f>
        <v>3</v>
      </c>
      <c r="AI58" s="153"/>
      <c r="AJ58" s="149"/>
      <c r="AK58" s="1150" t="s">
        <v>2378</v>
      </c>
      <c r="AL58" s="1150"/>
      <c r="AM58" s="1150"/>
      <c r="AN58" s="1150"/>
      <c r="AO58" s="1150"/>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5" customHeight="1">
      <c r="U59" s="1150" t="s">
        <v>2379</v>
      </c>
      <c r="V59" s="1150"/>
      <c r="W59" s="1150"/>
      <c r="X59" s="1150"/>
      <c r="Y59" s="1150"/>
      <c r="Z59" s="534" t="str">
        <f>IF(AND(B9&lt;&gt;"処遇加算なし",F15=4),IF(V28="✓",1,IF(V29="✓",2,IF(V30="✓",3,""))),"")</f>
        <v/>
      </c>
      <c r="AA59" s="145"/>
      <c r="AB59" s="149"/>
      <c r="AC59" s="1150" t="s">
        <v>2379</v>
      </c>
      <c r="AD59" s="1150"/>
      <c r="AE59" s="1150"/>
      <c r="AF59" s="1150"/>
      <c r="AG59" s="1150"/>
      <c r="AH59" s="425">
        <f>IF(AND(F15&lt;&gt;4,F15&lt;&gt;5),0,IF(AV8="○",1,3))</f>
        <v>3</v>
      </c>
      <c r="AI59" s="153"/>
      <c r="AJ59" s="149"/>
      <c r="AK59" s="1150" t="s">
        <v>2379</v>
      </c>
      <c r="AL59" s="1150"/>
      <c r="AM59" s="1150"/>
      <c r="AN59" s="1150"/>
      <c r="AO59" s="1150"/>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5" customHeight="1">
      <c r="U60" s="1150" t="s">
        <v>2380</v>
      </c>
      <c r="V60" s="1150"/>
      <c r="W60" s="1150"/>
      <c r="X60" s="1150"/>
      <c r="Y60" s="1150"/>
      <c r="Z60" s="534" t="str">
        <f>IF(AND(B9&lt;&gt;"処遇加算なし",F15=4),IF(V32="✓",1,IF(V33="✓",2,"")),"")</f>
        <v/>
      </c>
      <c r="AA60" s="145"/>
      <c r="AB60" s="149"/>
      <c r="AC60" s="1150" t="s">
        <v>2380</v>
      </c>
      <c r="AD60" s="1150"/>
      <c r="AE60" s="1150"/>
      <c r="AF60" s="1150"/>
      <c r="AG60" s="1150"/>
      <c r="AH60" s="425">
        <f>IF(AND(F15&lt;&gt;4,F15&lt;&gt;5),0,IF(AW8="○",1,3))</f>
        <v>3</v>
      </c>
      <c r="AI60" s="153"/>
      <c r="AJ60" s="149"/>
      <c r="AK60" s="1150" t="s">
        <v>2380</v>
      </c>
      <c r="AL60" s="1150"/>
      <c r="AM60" s="1150"/>
      <c r="AN60" s="1150"/>
      <c r="AO60" s="1150"/>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5" customHeight="1">
      <c r="U61" s="1150" t="s">
        <v>2381</v>
      </c>
      <c r="V61" s="1150"/>
      <c r="W61" s="1150"/>
      <c r="X61" s="1150"/>
      <c r="Y61" s="1150"/>
      <c r="Z61" s="534" t="str">
        <f>IF(AND(B9&lt;&gt;"処遇加算なし",F15=4),IF(V36="✓",1,IF(V37="✓",2,"")),"")</f>
        <v/>
      </c>
      <c r="AA61" s="145"/>
      <c r="AB61" s="149"/>
      <c r="AC61" s="1150" t="s">
        <v>2381</v>
      </c>
      <c r="AD61" s="1150"/>
      <c r="AE61" s="1150"/>
      <c r="AF61" s="1150"/>
      <c r="AG61" s="1150"/>
      <c r="AH61" s="425">
        <f>IF(AND(F15&lt;&gt;4,F15&lt;&gt;5),0,IF(AX8="○",1,2))</f>
        <v>2</v>
      </c>
      <c r="AI61" s="153"/>
      <c r="AJ61" s="149"/>
      <c r="AK61" s="1150" t="s">
        <v>2381</v>
      </c>
      <c r="AL61" s="1150"/>
      <c r="AM61" s="1150"/>
      <c r="AN61" s="1150"/>
      <c r="AO61" s="1150"/>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5" customHeight="1">
      <c r="U62" s="1150" t="s">
        <v>2382</v>
      </c>
      <c r="V62" s="1150"/>
      <c r="W62" s="1150"/>
      <c r="X62" s="1150"/>
      <c r="Y62" s="1150"/>
      <c r="Z62" s="534" t="str">
        <f>IF(AND(B9&lt;&gt;"処遇加算なし",F15=4),IF(V40="✓",1,IF(V41="✓",2,"")),"")</f>
        <v/>
      </c>
      <c r="AA62" s="145"/>
      <c r="AB62" s="149"/>
      <c r="AC62" s="1150" t="s">
        <v>2382</v>
      </c>
      <c r="AD62" s="1150"/>
      <c r="AE62" s="1150"/>
      <c r="AF62" s="1150"/>
      <c r="AG62" s="1150"/>
      <c r="AH62" s="425">
        <f>IF(AND(F15&lt;&gt;4,F15&lt;&gt;5),0,IF(AY8="○",1,2))</f>
        <v>2</v>
      </c>
      <c r="AI62" s="153"/>
      <c r="AJ62" s="149"/>
      <c r="AK62" s="1150" t="s">
        <v>2382</v>
      </c>
      <c r="AL62" s="1150"/>
      <c r="AM62" s="1150"/>
      <c r="AN62" s="1150"/>
      <c r="AO62" s="1150"/>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5" customHeight="1">
      <c r="U63" s="1016" t="s">
        <v>2383</v>
      </c>
      <c r="V63" s="1016"/>
      <c r="W63" s="1016"/>
      <c r="X63" s="1016"/>
      <c r="Y63" s="1016"/>
      <c r="Z63" s="534" t="str">
        <f>IF(AND(B9&lt;&gt;"処遇加算なし",F15=4),IF(V44="✓",1,IF(V45="✓",2,"")),"")</f>
        <v/>
      </c>
      <c r="AA63" s="145"/>
      <c r="AB63" s="149"/>
      <c r="AC63" s="1016" t="s">
        <v>2383</v>
      </c>
      <c r="AD63" s="1016"/>
      <c r="AE63" s="1016"/>
      <c r="AF63" s="1016"/>
      <c r="AG63" s="1016"/>
      <c r="AH63" s="425">
        <f>IF(AND(F15&lt;&gt;4,F15&lt;&gt;5),0,IF(AZ8="○",1,2))</f>
        <v>2</v>
      </c>
      <c r="AI63" s="153"/>
      <c r="AJ63" s="149"/>
      <c r="AK63" s="1016" t="s">
        <v>2383</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多賀 朱花(taga-ayaka.j16)</cp:lastModifiedBy>
  <cp:lastPrinted>2024-03-18T06:59:04Z</cp:lastPrinted>
  <dcterms:created xsi:type="dcterms:W3CDTF">2015-06-05T18:19:34Z</dcterms:created>
  <dcterms:modified xsi:type="dcterms:W3CDTF">2024-03-26T03:21:51Z</dcterms:modified>
</cp:coreProperties>
</file>